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4/Rozpočty/"/>
    </mc:Choice>
  </mc:AlternateContent>
  <xr:revisionPtr revIDLastSave="0" documentId="13_ncr:1_{1D17C0C0-D18F-5045-80D3-E844E716FD31}" xr6:coauthVersionLast="47" xr6:coauthVersionMax="47" xr10:uidLastSave="{00000000-0000-0000-0000-000000000000}"/>
  <bookViews>
    <workbookView xWindow="2580" yWindow="760" windowWidth="22000" windowHeight="16120" xr2:uid="{A85BD94A-D0DD-0941-81FB-30573CDBD9FD}"/>
  </bookViews>
  <sheets>
    <sheet name="AŠ - NAVÝŠENIE 2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3" l="1"/>
  <c r="K5" i="3"/>
  <c r="Z4" i="3"/>
  <c r="W6" i="3" l="1"/>
  <c r="AE15" i="3"/>
  <c r="W18" i="3" l="1"/>
  <c r="P6" i="3"/>
  <c r="P3" i="3"/>
  <c r="Z9" i="3"/>
  <c r="K13" i="3"/>
  <c r="AE13" i="3" s="1"/>
  <c r="K11" i="3"/>
  <c r="AE11" i="3" s="1"/>
  <c r="K9" i="3"/>
  <c r="K3" i="3"/>
  <c r="K4" i="3"/>
  <c r="K10" i="3"/>
  <c r="AE10" i="3" s="1"/>
  <c r="Y4" i="3"/>
  <c r="Y18" i="3"/>
  <c r="AA4" i="3"/>
  <c r="V8" i="3"/>
  <c r="AE8" i="3" l="1"/>
  <c r="AC7" i="3"/>
  <c r="AC12" i="3"/>
  <c r="AE12" i="3" s="1"/>
  <c r="AA14" i="3"/>
  <c r="P18" i="3"/>
  <c r="AB8" i="3"/>
  <c r="AB6" i="3"/>
  <c r="AE6" i="3" s="1"/>
  <c r="AB5" i="3"/>
  <c r="AE5" i="3" s="1"/>
  <c r="AB4" i="3"/>
  <c r="AB3" i="3"/>
  <c r="T18" i="3"/>
  <c r="U18" i="3"/>
  <c r="V18" i="3"/>
  <c r="Q18" i="3"/>
  <c r="O18" i="3"/>
  <c r="N18" i="3"/>
  <c r="M18" i="3"/>
  <c r="L18" i="3"/>
  <c r="J18" i="3"/>
  <c r="I18" i="3"/>
  <c r="H18" i="3"/>
  <c r="E18" i="3"/>
  <c r="D18" i="3"/>
  <c r="AD17" i="3"/>
  <c r="AD16" i="3"/>
  <c r="C15" i="3"/>
  <c r="AD15" i="3" s="1"/>
  <c r="Z14" i="3"/>
  <c r="C14" i="3"/>
  <c r="C13" i="3"/>
  <c r="AD13" i="3" s="1"/>
  <c r="C12" i="3"/>
  <c r="C11" i="3"/>
  <c r="AD11" i="3" s="1"/>
  <c r="C10" i="3"/>
  <c r="AD10" i="3" s="1"/>
  <c r="AC9" i="3"/>
  <c r="F9" i="3"/>
  <c r="C9" i="3"/>
  <c r="C8" i="3"/>
  <c r="AD8" i="3" s="1"/>
  <c r="AA7" i="3"/>
  <c r="G7" i="3"/>
  <c r="C7" i="3"/>
  <c r="C6" i="3"/>
  <c r="C5" i="3"/>
  <c r="R4" i="3"/>
  <c r="R18" i="3" s="1"/>
  <c r="C4" i="3"/>
  <c r="S3" i="3"/>
  <c r="S18" i="3" s="1"/>
  <c r="C3" i="3"/>
  <c r="F18" i="3" l="1"/>
  <c r="AE9" i="3"/>
  <c r="AE4" i="3"/>
  <c r="Z18" i="3"/>
  <c r="AE14" i="3"/>
  <c r="G18" i="3"/>
  <c r="AE7" i="3"/>
  <c r="AE3" i="3"/>
  <c r="AD4" i="3"/>
  <c r="AA18" i="3"/>
  <c r="AD6" i="3"/>
  <c r="AD12" i="3"/>
  <c r="AC18" i="3"/>
  <c r="AD3" i="3"/>
  <c r="AD5" i="3"/>
  <c r="AB18" i="3"/>
  <c r="AD14" i="3"/>
  <c r="K18" i="3"/>
  <c r="AD7" i="3"/>
  <c r="C18" i="3"/>
  <c r="AD9" i="3"/>
  <c r="AD18" i="3" l="1"/>
</calcChain>
</file>

<file path=xl/sharedStrings.xml><?xml version="1.0" encoding="utf-8"?>
<sst xmlns="http://schemas.openxmlformats.org/spreadsheetml/2006/main" count="45" uniqueCount="45">
  <si>
    <t>KLUB</t>
  </si>
  <si>
    <t>pridelené</t>
  </si>
  <si>
    <t>SUS/1</t>
  </si>
  <si>
    <t>SUS/2</t>
  </si>
  <si>
    <t>TR služby</t>
  </si>
  <si>
    <t>TV</t>
  </si>
  <si>
    <t>štart semin.</t>
  </si>
  <si>
    <t>štart  SLO</t>
  </si>
  <si>
    <t>štart zlín</t>
  </si>
  <si>
    <t>material</t>
  </si>
  <si>
    <t>EQ-cesta</t>
  </si>
  <si>
    <t>SUS/3</t>
  </si>
  <si>
    <t>ostáva</t>
  </si>
  <si>
    <t>Športový klub polície ILYO Košice</t>
  </si>
  <si>
    <t>Black Tiger Taekwondo - Klub Snina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</si>
  <si>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</si>
  <si>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</si>
  <si>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</si>
  <si>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</si>
  <si>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</si>
  <si>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</si>
  <si>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</si>
  <si>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Star-club bojových umení</t>
  </si>
  <si>
    <t>Taekwondo 4U Liptovský Mikuláš</t>
  </si>
  <si>
    <t>ILYO Taekwondo  Zvolen</t>
  </si>
  <si>
    <t>ILYO Taekwondo  Prešov</t>
  </si>
  <si>
    <t>SPOLU</t>
  </si>
  <si>
    <t>MES</t>
  </si>
  <si>
    <t>Asterix Cup</t>
  </si>
  <si>
    <t xml:space="preserve">Štartovné </t>
  </si>
  <si>
    <t>Náklady na telocvičnu</t>
  </si>
  <si>
    <t>Taekwondo Titan Gym</t>
  </si>
  <si>
    <t>SUS/LETO</t>
  </si>
  <si>
    <t>SUS/Korčula</t>
  </si>
  <si>
    <t>MEC</t>
  </si>
  <si>
    <t xml:space="preserve">Austria cup </t>
  </si>
  <si>
    <t xml:space="preserve">Trénerská činnosť </t>
  </si>
  <si>
    <t xml:space="preserve">Croatia Open </t>
  </si>
  <si>
    <t xml:space="preserve">Belgium Open </t>
  </si>
  <si>
    <t>Mentálny koaching</t>
  </si>
  <si>
    <t>MSJ</t>
  </si>
  <si>
    <t>ME 21</t>
  </si>
  <si>
    <t>Olszym camp</t>
  </si>
  <si>
    <t xml:space="preserve">Športový klub polície - Bratislava RYONG </t>
  </si>
  <si>
    <t>Daedo Open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</si>
</sst>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 * #,##0.00_)\ [$€-1]_ ;_ * \(#,##0.00\)\ [$€-1]_ ;_ * &quot;-&quot;??_)\ [$€-1]_ ;_ @_ "/>
  </numFmts>
  <fonts count="5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left"/>
    </xf>
    <xf numFmtId="44" fontId="0" fillId="0" borderId="1" xfId="1" applyFont="1" applyBorder="1"/>
    <xf numFmtId="0" fontId="0" fillId="0" borderId="1" xfId="0" applyBorder="1"/>
    <xf numFmtId="44" fontId="0" fillId="4" borderId="1" xfId="0" applyNumberFormat="1" applyFill="1" applyBorder="1"/>
    <xf numFmtId="44" fontId="0" fillId="0" borderId="1" xfId="0" applyNumberFormat="1" applyBorder="1"/>
    <xf numFmtId="49" fontId="3" fillId="3" borderId="1" xfId="0" applyNumberFormat="1" applyFont="1" applyFill="1" applyBorder="1"/>
    <xf numFmtId="0" fontId="0" fillId="5" borderId="1" xfId="0" applyFill="1" applyBorder="1"/>
    <xf numFmtId="44" fontId="0" fillId="5" borderId="1" xfId="1" applyFont="1" applyFill="1" applyBorder="1"/>
    <xf numFmtId="164" fontId="4" fillId="6" borderId="2" xfId="0" applyNumberFormat="1" applyFont="1" applyFill="1" applyBorder="1"/>
    <xf numFmtId="0" fontId="4" fillId="7" borderId="3" xfId="0" applyFont="1" applyFill="1" applyBorder="1" applyAlignment="1">
      <alignment horizontal="left"/>
    </xf>
    <xf numFmtId="4" fontId="0" fillId="0" borderId="1" xfId="0" applyNumberFormat="1" applyBorder="1"/>
    <xf numFmtId="44" fontId="0" fillId="3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DB5E-0487-0045-BA7E-E893B9FA2049}">
  <dimension ref="B2:AE18"/>
  <sheetViews>
    <sheetView tabSelected="1" topLeftCell="B1" workbookViewId="0">
      <selection activeCell="A5" sqref="A5:XFD5"/>
    </sheetView>
  </sheetViews>
  <sheetFormatPr baseColWidth="10" defaultRowHeight="16" x14ac:dyDescent="0.2"/>
  <cols>
    <col min="2" max="2" width="38.33203125" bestFit="1" customWidth="1"/>
    <col min="3" max="3" width="11.83203125" bestFit="1" customWidth="1"/>
    <col min="4" max="4" width="10.1640625" bestFit="1" customWidth="1"/>
    <col min="5" max="7" width="11.5" bestFit="1" customWidth="1"/>
    <col min="11" max="11" width="11.5" bestFit="1" customWidth="1"/>
    <col min="19" max="19" width="11.5" bestFit="1" customWidth="1"/>
    <col min="20" max="20" width="12.33203125" customWidth="1"/>
    <col min="21" max="21" width="12.6640625" customWidth="1"/>
    <col min="22" max="22" width="12.5" customWidth="1"/>
    <col min="23" max="24" width="11" customWidth="1"/>
    <col min="25" max="25" width="12.5" customWidth="1"/>
    <col min="26" max="26" width="11.83203125" bestFit="1" customWidth="1"/>
    <col min="27" max="27" width="11.5" bestFit="1" customWidth="1"/>
    <col min="28" max="28" width="11.5" customWidth="1"/>
    <col min="29" max="29" width="11.5" bestFit="1" customWidth="1"/>
  </cols>
  <sheetData>
    <row r="2" spans="2:31" ht="34" x14ac:dyDescent="0.2"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27</v>
      </c>
      <c r="O2" s="1" t="s">
        <v>34</v>
      </c>
      <c r="P2" s="1" t="s">
        <v>40</v>
      </c>
      <c r="Q2" s="1" t="s">
        <v>28</v>
      </c>
      <c r="R2" s="1" t="s">
        <v>32</v>
      </c>
      <c r="S2" s="1" t="s">
        <v>33</v>
      </c>
      <c r="T2" s="1" t="s">
        <v>37</v>
      </c>
      <c r="U2" s="1" t="s">
        <v>38</v>
      </c>
      <c r="V2" s="1" t="s">
        <v>35</v>
      </c>
      <c r="W2" s="1" t="s">
        <v>41</v>
      </c>
      <c r="X2" s="16" t="s">
        <v>44</v>
      </c>
      <c r="Y2" s="1" t="s">
        <v>42</v>
      </c>
      <c r="Z2" s="1" t="s">
        <v>29</v>
      </c>
      <c r="AA2" s="15" t="s">
        <v>30</v>
      </c>
      <c r="AB2" s="15" t="s">
        <v>39</v>
      </c>
      <c r="AC2" s="15" t="s">
        <v>36</v>
      </c>
      <c r="AD2" s="1" t="s">
        <v>12</v>
      </c>
    </row>
    <row r="3" spans="2:31" x14ac:dyDescent="0.2">
      <c r="B3" s="3" t="s">
        <v>13</v>
      </c>
      <c r="C3" s="11">
        <f>5626.33+168.44</f>
        <v>5794.7699999999995</v>
      </c>
      <c r="D3" s="5"/>
      <c r="E3" s="5">
        <v>-262</v>
      </c>
      <c r="F3" s="5">
        <v>-85</v>
      </c>
      <c r="G3" s="5">
        <v>-1685.37</v>
      </c>
      <c r="H3" s="5"/>
      <c r="I3" s="5">
        <v>-300</v>
      </c>
      <c r="J3" s="5">
        <v>-390</v>
      </c>
      <c r="K3" s="5">
        <f>-27.54</f>
        <v>-27.54</v>
      </c>
      <c r="L3" s="5"/>
      <c r="M3" s="5"/>
      <c r="N3" s="5"/>
      <c r="O3" s="5">
        <v>-125</v>
      </c>
      <c r="P3" s="5">
        <f>-153.82</f>
        <v>-153.82</v>
      </c>
      <c r="Q3" s="5"/>
      <c r="R3" s="5"/>
      <c r="S3" s="5">
        <f>-798-803.58</f>
        <v>-1601.58</v>
      </c>
      <c r="T3" s="5"/>
      <c r="U3" s="5"/>
      <c r="V3" s="5">
        <v>-502.33</v>
      </c>
      <c r="W3" s="5"/>
      <c r="X3" s="5"/>
      <c r="Y3" s="5"/>
      <c r="Z3" s="5">
        <v>-133.80000000000001</v>
      </c>
      <c r="AA3" s="5"/>
      <c r="AB3" s="5">
        <f>-(450+78.33)</f>
        <v>-528.33000000000004</v>
      </c>
      <c r="AC3" s="5"/>
      <c r="AD3" s="6">
        <f>C3+SUM(D3:AC3)</f>
        <v>0</v>
      </c>
      <c r="AE3">
        <f>SUM(D3:AC3)</f>
        <v>-5794.7699999999995</v>
      </c>
    </row>
    <row r="4" spans="2:31" x14ac:dyDescent="0.2">
      <c r="B4" s="3" t="s">
        <v>14</v>
      </c>
      <c r="C4" s="11">
        <f>1969.21+58.95</f>
        <v>2028.16</v>
      </c>
      <c r="D4" s="5">
        <v>-40</v>
      </c>
      <c r="E4" s="5">
        <v>-58.5</v>
      </c>
      <c r="F4" s="5"/>
      <c r="G4" s="5"/>
      <c r="H4" s="5"/>
      <c r="I4" s="5"/>
      <c r="J4" s="5"/>
      <c r="K4" s="5">
        <f>-129-254.6-149</f>
        <v>-532.6</v>
      </c>
      <c r="L4" s="5"/>
      <c r="M4" s="5">
        <v>-80</v>
      </c>
      <c r="N4" s="5"/>
      <c r="O4" s="5"/>
      <c r="P4" s="5"/>
      <c r="Q4" s="5">
        <v>-221.43</v>
      </c>
      <c r="R4" s="5">
        <f>-132.8-52.69</f>
        <v>-185.49</v>
      </c>
      <c r="S4" s="5"/>
      <c r="T4" s="5"/>
      <c r="U4" s="5"/>
      <c r="V4" s="5"/>
      <c r="W4" s="5"/>
      <c r="X4" s="5"/>
      <c r="Y4" s="5">
        <f>-388.25</f>
        <v>-388.25</v>
      </c>
      <c r="Z4" s="5">
        <f>-104</f>
        <v>-104</v>
      </c>
      <c r="AA4" s="5">
        <f>-254.67-84.89</f>
        <v>-339.56</v>
      </c>
      <c r="AB4" s="5">
        <f>-78.33</f>
        <v>-78.33</v>
      </c>
      <c r="AC4" s="5"/>
      <c r="AD4" s="6">
        <f>C4+SUM(D4:AC4)</f>
        <v>0</v>
      </c>
      <c r="AE4">
        <f t="shared" ref="AE4:AE15" si="0">SUM(D4:AC4)</f>
        <v>-2028.1599999999999</v>
      </c>
    </row>
    <row r="5" spans="2:31" x14ac:dyDescent="0.2">
      <c r="B5" s="3" t="s">
        <v>43</v>
      </c>
      <c r="C5" s="11">
        <f>3516.45+105.28</f>
        <v>3621.73</v>
      </c>
      <c r="D5" s="5">
        <v>-102.5</v>
      </c>
      <c r="E5" s="5">
        <v>-333</v>
      </c>
      <c r="F5" s="5"/>
      <c r="G5" s="5"/>
      <c r="H5" s="5"/>
      <c r="I5" s="5"/>
      <c r="J5" s="5"/>
      <c r="K5" s="5">
        <f>-60.96-1499.52</f>
        <v>-1560.48</v>
      </c>
      <c r="L5" s="5"/>
      <c r="M5" s="5">
        <v>-45</v>
      </c>
      <c r="N5" s="5"/>
      <c r="O5" s="5"/>
      <c r="P5" s="5"/>
      <c r="Q5" s="5">
        <v>-176.64</v>
      </c>
      <c r="R5" s="5"/>
      <c r="S5" s="5"/>
      <c r="T5" s="5"/>
      <c r="U5" s="5"/>
      <c r="V5" s="5"/>
      <c r="W5" s="5"/>
      <c r="X5" s="5">
        <f>-1325.3</f>
        <v>-1325.3</v>
      </c>
      <c r="Y5" s="5"/>
      <c r="Z5" s="5"/>
      <c r="AA5" s="5"/>
      <c r="AB5" s="5">
        <f>-78.33</f>
        <v>-78.33</v>
      </c>
      <c r="AC5" s="5"/>
      <c r="AD5" s="14">
        <f t="shared" ref="AD5:AD15" si="1">C5+SUM(D5:AC5)</f>
        <v>0.48000000000001819</v>
      </c>
      <c r="AE5">
        <f t="shared" si="0"/>
        <v>-3621.25</v>
      </c>
    </row>
    <row r="6" spans="2:31" x14ac:dyDescent="0.2">
      <c r="B6" s="8" t="s">
        <v>15</v>
      </c>
      <c r="C6" s="11">
        <f>2672.51+80.01</f>
        <v>2752.5200000000004</v>
      </c>
      <c r="D6" s="5"/>
      <c r="E6" s="5">
        <v>-199.5</v>
      </c>
      <c r="F6" s="5"/>
      <c r="G6" s="5"/>
      <c r="H6" s="5"/>
      <c r="I6" s="5"/>
      <c r="J6" s="5"/>
      <c r="K6" s="5"/>
      <c r="L6" s="5">
        <v>-99.4</v>
      </c>
      <c r="M6" s="5"/>
      <c r="N6" s="5">
        <v>-244.33</v>
      </c>
      <c r="O6" s="5"/>
      <c r="P6" s="5">
        <f>-242.52</f>
        <v>-242.52</v>
      </c>
      <c r="Q6" s="5">
        <v>-88.74</v>
      </c>
      <c r="R6" s="5">
        <v>-114.42</v>
      </c>
      <c r="S6" s="5"/>
      <c r="T6" s="5"/>
      <c r="U6" s="5"/>
      <c r="V6" s="5"/>
      <c r="W6" s="5">
        <f>-253.02</f>
        <v>-253.02</v>
      </c>
      <c r="X6" s="5"/>
      <c r="Y6" s="5"/>
      <c r="Z6" s="5">
        <v>-620</v>
      </c>
      <c r="AA6" s="5">
        <v>-806</v>
      </c>
      <c r="AB6" s="5">
        <f>-78.33</f>
        <v>-78.33</v>
      </c>
      <c r="AC6" s="5"/>
      <c r="AD6" s="14">
        <f>C6+SUM(D6:AC6)</f>
        <v>6.2600000000002183</v>
      </c>
      <c r="AE6">
        <f t="shared" si="0"/>
        <v>-2746.26</v>
      </c>
    </row>
    <row r="7" spans="2:31" ht="17" customHeight="1" x14ac:dyDescent="0.2">
      <c r="B7" s="3" t="s">
        <v>16</v>
      </c>
      <c r="C7" s="11">
        <f>2250.53+67.38</f>
        <v>2317.9100000000003</v>
      </c>
      <c r="D7" s="5"/>
      <c r="E7" s="5">
        <v>-138</v>
      </c>
      <c r="F7" s="5">
        <v>-721.93</v>
      </c>
      <c r="G7" s="5">
        <f>-(163.68*3+300+159.91)</f>
        <v>-950.94999999999993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>
        <f>-(163.68+163.68+100+12.29)</f>
        <v>-439.65000000000003</v>
      </c>
      <c r="AB7" s="5"/>
      <c r="AC7" s="5">
        <f>-67.38</f>
        <v>-67.38</v>
      </c>
      <c r="AD7" s="6">
        <f t="shared" si="1"/>
        <v>0</v>
      </c>
      <c r="AE7">
        <f t="shared" si="0"/>
        <v>-2317.91</v>
      </c>
    </row>
    <row r="8" spans="2:31" x14ac:dyDescent="0.2">
      <c r="B8" s="3" t="s">
        <v>17</v>
      </c>
      <c r="C8" s="11">
        <f>984.61+29.48</f>
        <v>1014.09</v>
      </c>
      <c r="D8" s="5"/>
      <c r="E8" s="5">
        <v>-252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-100</v>
      </c>
      <c r="U8" s="5">
        <v>-125</v>
      </c>
      <c r="V8" s="5">
        <f>-308.76</f>
        <v>-308.76</v>
      </c>
      <c r="W8" s="5"/>
      <c r="X8" s="5"/>
      <c r="Y8" s="5"/>
      <c r="Z8" s="5"/>
      <c r="AA8" s="5"/>
      <c r="AB8" s="5">
        <f>-78.33-150</f>
        <v>-228.32999999999998</v>
      </c>
      <c r="AC8" s="5"/>
      <c r="AD8" s="6">
        <f>C8+SUM(D8:AC8)</f>
        <v>0</v>
      </c>
      <c r="AE8">
        <f t="shared" si="0"/>
        <v>-1014.0899999999999</v>
      </c>
    </row>
    <row r="9" spans="2:31" x14ac:dyDescent="0.2">
      <c r="B9" s="3" t="s">
        <v>18</v>
      </c>
      <c r="C9" s="11">
        <f>2109.87+63.17</f>
        <v>2173.04</v>
      </c>
      <c r="D9" s="5"/>
      <c r="E9" s="5"/>
      <c r="F9" s="5">
        <f>-(462+264)</f>
        <v>-726</v>
      </c>
      <c r="G9" s="5"/>
      <c r="H9" s="5">
        <v>-150</v>
      </c>
      <c r="I9" s="5"/>
      <c r="J9" s="5"/>
      <c r="K9" s="5">
        <f>-(38.7+41.7+64.49+60.8)</f>
        <v>-205.69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>
        <f>-48</f>
        <v>-48</v>
      </c>
      <c r="AA9" s="5"/>
      <c r="AB9" s="5"/>
      <c r="AC9" s="5">
        <f>-(396+647.35)</f>
        <v>-1043.3499999999999</v>
      </c>
      <c r="AD9" s="6">
        <f>C9+SUM(D9:AC9)</f>
        <v>0</v>
      </c>
      <c r="AE9">
        <f t="shared" si="0"/>
        <v>-2173.04</v>
      </c>
    </row>
    <row r="10" spans="2:31" x14ac:dyDescent="0.2">
      <c r="B10" s="3" t="s">
        <v>19</v>
      </c>
      <c r="C10" s="11">
        <f>421.97+12.63</f>
        <v>434.6</v>
      </c>
      <c r="D10" s="5"/>
      <c r="E10" s="5"/>
      <c r="F10" s="5"/>
      <c r="G10" s="5"/>
      <c r="H10" s="5"/>
      <c r="I10" s="5"/>
      <c r="J10" s="5"/>
      <c r="K10" s="5">
        <f>-434.6</f>
        <v>-434.6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>
        <f t="shared" si="1"/>
        <v>0</v>
      </c>
      <c r="AE10">
        <f t="shared" si="0"/>
        <v>-434.6</v>
      </c>
    </row>
    <row r="11" spans="2:31" x14ac:dyDescent="0.2">
      <c r="B11" s="3" t="s">
        <v>20</v>
      </c>
      <c r="C11" s="11">
        <f>703.29+21.06</f>
        <v>724.34999999999991</v>
      </c>
      <c r="D11" s="5"/>
      <c r="E11" s="5"/>
      <c r="F11" s="5"/>
      <c r="G11" s="5"/>
      <c r="H11" s="5"/>
      <c r="I11" s="5"/>
      <c r="J11" s="5"/>
      <c r="K11" s="5">
        <f>-340.3-21.06</f>
        <v>-361.36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>
        <v>-362.99</v>
      </c>
      <c r="AA11" s="5"/>
      <c r="AB11" s="5"/>
      <c r="AC11" s="5"/>
      <c r="AD11" s="6">
        <f t="shared" si="1"/>
        <v>0</v>
      </c>
      <c r="AE11">
        <f t="shared" si="0"/>
        <v>-724.35</v>
      </c>
    </row>
    <row r="12" spans="2:31" x14ac:dyDescent="0.2">
      <c r="B12" s="3" t="s">
        <v>21</v>
      </c>
      <c r="C12" s="11">
        <f>2672.51+80.01</f>
        <v>2752.5200000000004</v>
      </c>
      <c r="D12" s="5"/>
      <c r="E12" s="5"/>
      <c r="F12" s="5">
        <v>-900</v>
      </c>
      <c r="G12" s="5">
        <v>-120</v>
      </c>
      <c r="H12" s="5"/>
      <c r="I12" s="5"/>
      <c r="J12" s="5">
        <v>-225.13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13">
        <v>-1427.38</v>
      </c>
      <c r="AB12" s="13"/>
      <c r="AC12" s="13">
        <f>-80.01</f>
        <v>-80.010000000000005</v>
      </c>
      <c r="AD12" s="6">
        <f t="shared" si="1"/>
        <v>0</v>
      </c>
      <c r="AE12">
        <f t="shared" si="0"/>
        <v>-2752.5200000000004</v>
      </c>
    </row>
    <row r="13" spans="2:31" x14ac:dyDescent="0.2">
      <c r="B13" s="3" t="s">
        <v>22</v>
      </c>
      <c r="C13" s="11">
        <f>562.63+16.84</f>
        <v>579.47</v>
      </c>
      <c r="D13" s="5"/>
      <c r="E13" s="5"/>
      <c r="F13" s="5"/>
      <c r="G13" s="5"/>
      <c r="H13" s="5"/>
      <c r="I13" s="5"/>
      <c r="J13" s="5"/>
      <c r="K13" s="5">
        <f>-272.24+(-290.39)+(-16.84)</f>
        <v>-579.47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">
        <f t="shared" si="1"/>
        <v>0</v>
      </c>
      <c r="AE13">
        <f t="shared" si="0"/>
        <v>-579.47</v>
      </c>
    </row>
    <row r="14" spans="2:31" x14ac:dyDescent="0.2">
      <c r="B14" s="3" t="s">
        <v>23</v>
      </c>
      <c r="C14" s="11">
        <f>1265.92+37.9</f>
        <v>1303.8200000000002</v>
      </c>
      <c r="D14" s="5"/>
      <c r="E14" s="5"/>
      <c r="F14" s="5"/>
      <c r="G14" s="5"/>
      <c r="H14" s="5"/>
      <c r="I14" s="5"/>
      <c r="J14" s="5"/>
      <c r="K14" s="5">
        <v>-253.66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>
        <f>-(290+322.53+72)</f>
        <v>-684.53</v>
      </c>
      <c r="AA14" s="5">
        <f>-332.5</f>
        <v>-332.5</v>
      </c>
      <c r="AB14" s="5"/>
      <c r="AC14" s="5"/>
      <c r="AD14" s="14">
        <f t="shared" si="1"/>
        <v>33.130000000000109</v>
      </c>
      <c r="AE14">
        <f t="shared" si="0"/>
        <v>-1270.69</v>
      </c>
    </row>
    <row r="15" spans="2:31" x14ac:dyDescent="0.2">
      <c r="B15" s="3" t="s">
        <v>25</v>
      </c>
      <c r="C15" s="11">
        <f>140.66+4.21</f>
        <v>144.87</v>
      </c>
      <c r="D15" s="5"/>
      <c r="E15" s="5"/>
      <c r="F15" s="5"/>
      <c r="G15" s="5"/>
      <c r="H15" s="5"/>
      <c r="I15" s="5"/>
      <c r="J15" s="5"/>
      <c r="K15" s="5">
        <v>-125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-15.66</v>
      </c>
      <c r="AB15" s="5"/>
      <c r="AC15" s="5"/>
      <c r="AD15" s="14">
        <f t="shared" si="1"/>
        <v>4.210000000000008</v>
      </c>
      <c r="AE15">
        <f t="shared" si="0"/>
        <v>-140.66</v>
      </c>
    </row>
    <row r="16" spans="2:31" x14ac:dyDescent="0.2">
      <c r="B16" s="12" t="s">
        <v>24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>
        <f t="shared" ref="AD16:AD17" si="2">C16+SUM(D16:AA16)</f>
        <v>0</v>
      </c>
    </row>
    <row r="17" spans="2:30" x14ac:dyDescent="0.2">
      <c r="B17" s="12" t="s">
        <v>31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>
        <f t="shared" si="2"/>
        <v>0</v>
      </c>
    </row>
    <row r="18" spans="2:30" x14ac:dyDescent="0.2">
      <c r="B18" s="9" t="s">
        <v>26</v>
      </c>
      <c r="C18" s="10">
        <f t="shared" ref="C18:AD18" si="3">SUM(C3:C16)</f>
        <v>25641.85</v>
      </c>
      <c r="D18" s="10">
        <f t="shared" si="3"/>
        <v>-142.5</v>
      </c>
      <c r="E18" s="10">
        <f t="shared" si="3"/>
        <v>-1243</v>
      </c>
      <c r="F18" s="10">
        <f t="shared" si="3"/>
        <v>-2432.9299999999998</v>
      </c>
      <c r="G18" s="10">
        <f t="shared" si="3"/>
        <v>-2756.3199999999997</v>
      </c>
      <c r="H18" s="10">
        <f t="shared" si="3"/>
        <v>-150</v>
      </c>
      <c r="I18" s="10">
        <f t="shared" si="3"/>
        <v>-300</v>
      </c>
      <c r="J18" s="10">
        <f t="shared" si="3"/>
        <v>-615.13</v>
      </c>
      <c r="K18" s="10">
        <f t="shared" si="3"/>
        <v>-4080.3999999999996</v>
      </c>
      <c r="L18" s="10">
        <f t="shared" si="3"/>
        <v>-99.4</v>
      </c>
      <c r="M18" s="10">
        <f t="shared" si="3"/>
        <v>-125</v>
      </c>
      <c r="N18" s="10">
        <f t="shared" si="3"/>
        <v>-244.33</v>
      </c>
      <c r="O18" s="10">
        <f t="shared" si="3"/>
        <v>-125</v>
      </c>
      <c r="P18" s="10">
        <f t="shared" si="3"/>
        <v>-396.34000000000003</v>
      </c>
      <c r="Q18" s="10">
        <f t="shared" si="3"/>
        <v>-486.81</v>
      </c>
      <c r="R18" s="10">
        <f t="shared" si="3"/>
        <v>-299.91000000000003</v>
      </c>
      <c r="S18" s="10">
        <f t="shared" si="3"/>
        <v>-1601.58</v>
      </c>
      <c r="T18" s="10">
        <f t="shared" si="3"/>
        <v>-100</v>
      </c>
      <c r="U18" s="10">
        <f t="shared" si="3"/>
        <v>-125</v>
      </c>
      <c r="V18" s="10">
        <f t="shared" si="3"/>
        <v>-811.08999999999992</v>
      </c>
      <c r="W18" s="10">
        <f t="shared" si="3"/>
        <v>-253.02</v>
      </c>
      <c r="X18" s="10"/>
      <c r="Y18" s="10">
        <f t="shared" si="3"/>
        <v>-388.25</v>
      </c>
      <c r="Z18" s="10">
        <f t="shared" si="3"/>
        <v>-1953.32</v>
      </c>
      <c r="AA18" s="10">
        <f t="shared" si="3"/>
        <v>-3360.75</v>
      </c>
      <c r="AB18" s="10">
        <f t="shared" si="3"/>
        <v>-991.65000000000009</v>
      </c>
      <c r="AC18" s="10">
        <f t="shared" si="3"/>
        <v>-1190.74</v>
      </c>
      <c r="AD18" s="7">
        <f t="shared" si="3"/>
        <v>44.080000000000354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AŠ - NAVÝŠENIE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2024-04-05T17:01:35Z</dcterms:created>
  <dcterms:modified xsi:type="dcterms:W3CDTF">2025-01-24T07:36:59Z</dcterms:modified>
</cp:coreProperties>
</file>