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B1DF87F0-E90C-AD4F-A699-7A76705464DD}" xr6:coauthVersionLast="47" xr6:coauthVersionMax="47" xr10:uidLastSave="{00000000-0000-0000-0000-000000000000}"/>
  <bookViews>
    <workbookView xWindow="680" yWindow="760" windowWidth="1560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Doklady!$A$106:$J$162</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154" i="4"/>
  <c r="B21" i="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M47" i="4" s="1"/>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K16" i="4"/>
  <c r="J16" i="4" s="1"/>
  <c r="M17" i="4"/>
  <c r="K46" i="4"/>
  <c r="L85" i="9"/>
  <c r="C85" i="9"/>
  <c r="K48" i="4"/>
  <c r="M49" i="4"/>
  <c r="K22" i="4"/>
  <c r="J22" i="4" s="1"/>
  <c r="M75" i="4"/>
  <c r="C65" i="9"/>
  <c r="L65" i="9"/>
  <c r="C13" i="6"/>
  <c r="C10" i="6"/>
  <c r="K40" i="9"/>
  <c r="L41" i="9"/>
  <c r="L43" i="9"/>
  <c r="L46" i="9" s="1"/>
  <c r="K45" i="9"/>
  <c r="B43" i="9" s="1"/>
  <c r="M13" i="4"/>
  <c r="K12" i="4"/>
  <c r="J12" i="4" s="1"/>
  <c r="C11" i="6"/>
  <c r="K78" i="4" l="1"/>
  <c r="E121" i="9"/>
  <c r="L63" i="9"/>
  <c r="M101" i="9"/>
  <c r="L95" i="9"/>
  <c r="E95" i="9"/>
  <c r="D95" i="9"/>
  <c r="J95" i="9" s="1"/>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8" i="9" l="1"/>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<sst xmlns="http://schemas.openxmlformats.org/spreadsheetml/2006/main" count="4185" uniqueCount="1948">
  <si>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</si>
  <si>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</si>
  <si>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</si>
  <si>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</si>
  <si>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</si>
  <si>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</si>
  <si>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</si>
  <si>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</si>
  <si>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</si>
  <si>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</si>
  <si>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</si>
  <si>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</si>
  <si>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</si>
  <si>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</si>
  <si>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</si>
  <si>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</si>
  <si>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</si>
  <si>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</si>
  <si>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</si>
  <si>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</si>
  <si>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</si>
  <si>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</si>
  <si>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</si>
  <si>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</si>
  <si>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</si>
  <si>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</si>
  <si>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</si>
  <si>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</si>
  <si>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</si>
  <si>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</si>
  <si>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</si>
  <si>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</si>
  <si>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</si>
  <si>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</si>
  <si>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</si>
  <si>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</si>
  <si>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</si>
  <si>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</si>
  <si>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</si>
  <si>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</si>
  <si>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</si>
  <si>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</si>
  <si>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</si>
  <si>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</si>
  <si>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</si>
  <si>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</si>
  <si>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</si>
  <si>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</si>
  <si>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</si>
  <si>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</si>
  <si>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</si>
  <si>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</si>
  <si>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</si>
  <si>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</si>
  <si>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</si>
  <si>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</si>
  <si>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</si>
  <si>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</si>
  <si>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</si>
  <si>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</si>
  <si>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</si>
  <si>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</si>
  <si>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</si>
  <si>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</si>
  <si>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</si>
  <si>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</si>
  <si>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</si>
  <si>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</si>
  <si>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</si>
  <si>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</si>
  <si>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</si>
  <si>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</si>
  <si>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</si>
  <si>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</si>
  <si>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</si>
  <si>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</si>
  <si>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</si>
  <si>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</si>
  <si>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</si>
  <si>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</si>
  <si>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</si>
  <si>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</si>
  <si>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</si>
  <si>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</si>
  <si>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</si>
  <si>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</si>
  <si>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</si>
  <si>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</si>
  <si>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</si>
  <si>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</si>
  <si>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</si>
  <si>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</si>
  <si>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</si>
  <si>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</si>
  <si>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</si>
  <si>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</si>
  <si>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</si>
  <si>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</si>
  <si>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</si>
  <si>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</si>
  <si>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</si>
  <si>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</si>
  <si>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</si>
  <si>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</si>
  <si>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</si>
  <si>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</si>
  <si>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</si>
  <si>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</si>
  <si>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</si>
  <si>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</si>
  <si>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</si>
  <si>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</si>
  <si>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</si>
  <si>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</si>
  <si>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</si>
  <si>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</si>
  <si>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</si>
  <si>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</si>
  <si>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</si>
  <si>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</si>
  <si>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</si>
  <si>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</si>
  <si>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</si>
  <si>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</si>
  <si>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</si>
  <si>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</si>
  <si>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</si>
  <si>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</si>
  <si>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</si>
  <si>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</si>
  <si>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</si>
  <si>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</si>
  <si>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</si>
  <si>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</si>
  <si>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</si>
  <si>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</si>
  <si>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</si>
  <si>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</si>
  <si>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</si>
  <si>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</si>
  <si>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</si>
  <si>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</si>
  <si>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</si>
  <si>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</si>
  <si>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</si>
  <si>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</si>
  <si>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</si>
  <si>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</si>
  <si>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</si>
  <si>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</si>
  <si>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</si>
  <si>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</si>
  <si>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</si>
  <si>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</si>
  <si>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</si>
  <si>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</si>
  <si>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</si>
  <si>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</si>
  <si>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</si>
  <si>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</si>
  <si>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</si>
  <si>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</si>
  <si>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</si>
  <si>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</si>
  <si>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</si>
  <si>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</si>
  <si>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</si>
  <si>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</si>
  <si>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</si>
  <si>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</si>
  <si>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</si>
  <si>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</si>
  <si>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</si>
  <si>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</si>
  <si>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</si>
  <si>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</si>
  <si>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</si>
  <si>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</si>
  <si>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</si>
  <si>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</si>
  <si>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</si>
  <si>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</si>
  <si>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</si>
  <si>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</si>
  <si>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</si>
  <si>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</si>
  <si>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</si>
  <si>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</si>
  <si>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</si>
  <si>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</si>
  <si>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</si>
  <si>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</si>
  <si>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</si>
  <si>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</si>
  <si>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</si>
  <si>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</si>
  <si>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</si>
  <si>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</si>
  <si>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</si>
  <si>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</si>
  <si>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</si>
  <si>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</si>
  <si>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</si>
  <si>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</si>
  <si>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</si>
  <si>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</si>
  <si>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</si>
  <si>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</si>
  <si>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</si>
  <si>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</si>
  <si>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</si>
  <si>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</si>
  <si>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</si>
  <si>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</si>
  <si>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</si>
  <si>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</si>
  <si>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</si>
  <si>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</si>
  <si>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</si>
  <si>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</si>
  <si>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</si>
  <si>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</si>
  <si>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</si>
  <si>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</si>
  <si>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</si>
  <si>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</si>
  <si>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</si>
  <si>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</si>
  <si>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</si>
  <si>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</si>
  <si>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</si>
  <si>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</si>
  <si>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</si>
  <si>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</si>
  <si>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</si>
  <si>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</si>
  <si>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</si>
  <si>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</si>
  <si>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</si>
  <si>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</si>
  <si>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</si>
  <si>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</si>
  <si>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</si>
  <si>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</si>
  <si>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</si>
  <si>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</si>
  <si>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</si>
  <si>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</si>
  <si>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</si>
  <si>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</si>
  <si>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</si>
  <si>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</si>
  <si>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</si>
  <si>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</si>
  <si>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</si>
  <si>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</si>
  <si>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</si>
  <si>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</si>
  <si>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</si>
  <si>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</si>
  <si>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</si>
  <si>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</si>
  <si>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</si>
  <si>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</si>
  <si>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</si>
  <si>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</si>
  <si>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</si>
  <si>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</si>
  <si>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</si>
  <si>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</si>
  <si>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</si>
  <si>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</si>
  <si>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</si>
  <si>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</si>
  <si>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</si>
  <si>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</si>
  <si>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</si>
  <si>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</si>
  <si>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</si>
  <si>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</si>
  <si>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</si>
  <si>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</si>
  <si>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</si>
  <si>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</si>
  <si>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</si>
  <si>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</si>
  <si>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</si>
  <si>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</si>
  <si>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</si>
  <si>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</si>
  <si>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</si>
  <si>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</si>
  <si>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</si>
  <si>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</si>
  <si>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</si>
  <si>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</si>
  <si>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</si>
  <si>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</si>
  <si>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</si>
  <si>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</si>
  <si>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</si>
  <si>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</si>
  <si>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</si>
  <si>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</si>
  <si>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</si>
  <si>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</si>
  <si>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</si>
  <si>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</si>
  <si>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</si>
  <si>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</si>
  <si>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</si>
  <si>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</si>
  <si>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</si>
  <si>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</si>
  <si>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</si>
  <si>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</si>
  <si>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</si>
  <si>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</si>
  <si>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</si>
  <si>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</si>
  <si>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</si>
  <si>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</si>
  <si>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</si>
  <si>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</si>
  <si>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</si>
  <si>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</si>
  <si>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</si>
  <si>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</si>
  <si>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</si>
  <si>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</si>
  <si>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</si>
  <si>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</si>
  <si>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</si>
  <si>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</si>
  <si>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</si>
  <si>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</si>
  <si>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</si>
  <si>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</si>
  <si>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</si>
  <si>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</si>
  <si>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</si>
  <si>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</si>
  <si>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</si>
  <si>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</si>
  <si>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</si>
  <si>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</si>
  <si>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</si>
  <si>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</si>
  <si>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</si>
  <si>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</si>
  <si>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</si>
  <si>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</si>
  <si>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</si>
  <si>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</si>
  <si>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</si>
  <si>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</si>
  <si>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</si>
  <si>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</si>
  <si>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</si>
  <si>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</si>
  <si>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</si>
  <si>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</si>
  <si>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</si>
  <si>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</si>
  <si>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</si>
  <si>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</si>
  <si>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</si>
  <si>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</si>
  <si>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</si>
  <si>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</si>
  <si>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</si>
  <si>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</si>
  <si>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</si>
  <si>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</si>
  <si>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</si>
  <si>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</si>
  <si>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</si>
  <si>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</si>
  <si>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</si>
  <si>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</si>
  <si>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</si>
  <si>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</si>
  <si>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</si>
  <si>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</si>
  <si>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</si>
  <si>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</si>
  <si>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</si>
  <si>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</si>
  <si>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</si>
  <si>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</si>
  <si>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</si>
  <si>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</si>
  <si>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</si>
  <si>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</si>
  <si>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</si>
  <si>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</si>
  <si>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</si>
  <si>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</si>
  <si>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</si>
  <si>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</si>
  <si>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</si>
  <si>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</si>
  <si>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</si>
  <si>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</si>
  <si>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</si>
  <si>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</si>
  <si>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</si>
  <si>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</si>
  <si>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</si>
  <si>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</si>
  <si>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</si>
  <si>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</si>
  <si>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</si>
  <si>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</si>
  <si>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</si>
  <si>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</si>
  <si>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</si>
  <si>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</si>
  <si>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</si>
  <si>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</si>
  <si>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</si>
  <si>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</si>
  <si>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</si>
  <si>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</si>
  <si>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</si>
  <si>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</si>
  <si>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</si>
  <si>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</si>
  <si>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</si>
  <si>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</si>
  <si>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</si>
  <si>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</si>
  <si>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</si>
  <si>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</si>
  <si>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</si>
  <si>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</si>
  <si>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</si>
  <si>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</si>
  <si>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</si>
  <si>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</si>
  <si>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</si>
  <si>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</si>
  <si>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</si>
  <si>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</si>
  <si>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</si>
  <si>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</si>
  <si>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</si>
  <si>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</si>
  <si>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</si>
  <si>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</si>
  <si>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</si>
  <si>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</si>
  <si>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</si>
  <si>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</si>
  <si>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</si>
  <si>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</si>
  <si>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</si>
  <si>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</si>
  <si>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</si>
  <si>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</si>
  <si>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</si>
  <si>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</si>
  <si>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</si>
  <si>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</si>
  <si>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</si>
  <si>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</si>
  <si>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</si>
  <si>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</si>
  <si>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</si>
  <si>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</si>
  <si>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</si>
  <si>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</si>
  <si>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</si>
  <si>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</si>
  <si>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</si>
  <si>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</si>
  <si>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</si>
  <si>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</si>
  <si>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</si>
  <si>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</si>
  <si>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</si>
  <si>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</si>
  <si>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</si>
  <si>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</si>
  <si>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</si>
  <si>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</si>
  <si>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</si>
  <si>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</si>
  <si>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</si>
  <si>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</si>
  <si>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</si>
  <si>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</si>
  <si>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</si>
  <si>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</si>
  <si>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</si>
  <si>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</si>
  <si>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</si>
  <si>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</si>
  <si>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</si>
  <si>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</si>
  <si>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</si>
  <si>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</si>
  <si>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</si>
  <si>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</si>
  <si>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</si>
  <si>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</si>
  <si>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</si>
  <si>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</si>
  <si>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</si>
  <si>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</si>
  <si>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</si>
  <si>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</si>
  <si>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</si>
  <si>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</si>
  <si>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</si>
  <si>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</si>
  <si>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</si>
  <si>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</si>
  <si>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</si>
  <si>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</si>
  <si>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</si>
  <si>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</si>
  <si>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</si>
  <si>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</si>
  <si>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</si>
  <si>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</si>
  <si>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</si>
  <si>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</si>
  <si>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</si>
  <si>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</si>
  <si>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</si>
  <si>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</si>
  <si>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</si>
  <si>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</si>
  <si>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</si>
  <si>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</si>
  <si>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</si>
  <si>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</si>
  <si>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</si>
  <si>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</si>
  <si>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</si>
  <si>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</si>
  <si>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</si>
  <si>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</si>
  <si>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</si>
  <si>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</si>
  <si>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</si>
  <si>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</si>
  <si>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</si>
  <si>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</si>
  <si>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</si>
  <si>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</si>
  <si>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</si>
  <si>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</si>
  <si>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</si>
  <si>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</si>
  <si>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</si>
  <si>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</si>
  <si>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</si>
  <si>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</si>
  <si>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</si>
  <si>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</si>
  <si>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</si>
  <si>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</si>
  <si>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</si>
  <si>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</si>
  <si>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</si>
  <si>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</si>
  <si>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</si>
  <si>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</si>
  <si>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</si>
  <si>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</si>
  <si>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</si>
  <si>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</si>
  <si>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</si>
  <si>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</si>
  <si>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</si>
  <si>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</si>
  <si>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</si>
  <si>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</si>
  <si>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</si>
  <si>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</si>
  <si>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</si>
  <si>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</si>
  <si>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</si>
  <si>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</si>
  <si>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</si>
  <si>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</si>
  <si>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</si>
  <si>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</si>
  <si>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</si>
  <si>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</si>
  <si>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</si>
  <si>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</si>
  <si>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</si>
  <si>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</si>
  <si>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</si>
  <si>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</si>
  <si>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</si>
  <si>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</si>
  <si>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</si>
  <si>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</si>
  <si>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</si>
  <si>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</si>
  <si>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</si>
  <si>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</si>
  <si>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</si>
  <si>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</si>
  <si>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</si>
  <si>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</si>
  <si>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</si>
  <si>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</si>
  <si>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</si>
  <si>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</si>
  <si>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</si>
  <si>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</si>
  <si>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</si>
  <si>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</si>
  <si>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</si>
  <si>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</si>
  <si>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</si>
  <si>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</si>
  <si>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</si>
  <si>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</si>
  <si>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</si>
  <si>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</si>
  <si>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</si>
  <si>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</si>
  <si>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</si>
  <si>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</si>
  <si>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</si>
  <si>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</si>
  <si>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</si>
  <si>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</si>
  <si>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</si>
  <si>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</si>
  <si>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</si>
  <si>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</si>
  <si>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</si>
  <si>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</si>
  <si>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</si>
  <si>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</si>
  <si>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</si>
  <si>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</si>
  <si>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</si>
  <si>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</si>
  <si>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</si>
  <si>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</si>
  <si>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</si>
  <si>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</si>
  <si>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</si>
  <si>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</si>
  <si>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</si>
  <si>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</si>
  <si>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</si>
  <si>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</si>
  <si>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</si>
  <si>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</si>
  <si>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</si>
  <si>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</si>
  <si>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</si>
  <si>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</si>
  <si>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</si>
  <si>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</si>
  <si>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</si>
  <si>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</si>
  <si>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</si>
  <si>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</si>
  <si>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</si>
  <si>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</si>
  <si>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</si>
  <si>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</si>
  <si>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</si>
  <si>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</si>
  <si>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</si>
  <si>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</si>
  <si>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</si>
  <si>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</si>
  <si>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</si>
  <si>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</si>
  <si>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</si>
  <si>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</si>
  <si>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</si>
  <si>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</si>
  <si>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</si>
  <si>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</si>
  <si>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</si>
  <si>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</si>
  <si>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</si>
  <si>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</si>
  <si>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</si>
  <si>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</si>
  <si>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</si>
  <si>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</si>
  <si>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</si>
  <si>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</si>
  <si>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</si>
  <si>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</si>
  <si>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</si>
  <si>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</si>
  <si>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</si>
  <si>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</si>
  <si>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</si>
  <si>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</si>
  <si>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</si>
  <si>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</si>
  <si>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</si>
  <si>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</si>
  <si>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</si>
  <si>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</si>
  <si>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</si>
  <si>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</si>
  <si>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</si>
  <si>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</si>
  <si>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</si>
  <si>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</si>
  <si>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</si>
  <si>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</si>
  <si>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</si>
  <si>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</si>
  <si>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</si>
  <si>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</si>
  <si>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</si>
  <si>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</si>
  <si>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</si>
  <si>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</si>
  <si>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</si>
  <si>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</si>
  <si>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</si>
  <si>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</si>
  <si>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</si>
  <si>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</si>
  <si>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</si>
  <si>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</si>
  <si>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</si>
  <si>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</si>
  <si>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</si>
  <si>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</si>
  <si>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</si>
  <si>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</si>
  <si>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</si>
  <si>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</si>
  <si>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</si>
  <si>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</si>
  <si>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</si>
  <si>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</si>
  <si>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</si>
  <si>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</si>
  <si>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</si>
  <si>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</si>
  <si>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</si>
  <si>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</si>
  <si>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</si>
  <si>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</si>
  <si>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</si>
  <si>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</si>
  <si>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</si>
  <si>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</si>
  <si>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</si>
  <si>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</si>
  <si>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</si>
  <si>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</si>
  <si>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</si>
  <si>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</si>
  <si>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</si>
  <si>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</si>
  <si>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</si>
  <si>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</si>
  <si>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</si>
  <si>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</si>
  <si>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</si>
  <si>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</si>
  <si>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</si>
  <si>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</si>
  <si>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</si>
  <si>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</si>
  <si>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</si>
  <si>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</si>
  <si>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</si>
  <si>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</si>
  <si>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</si>
  <si>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</si>
  <si>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</si>
  <si>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</si>
  <si>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</si>
  <si>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</si>
  <si>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</si>
  <si>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</si>
  <si>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</si>
  <si>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</si>
  <si>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</si>
  <si>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</si>
  <si>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</si>
  <si>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</si>
  <si>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</si>
  <si>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</si>
  <si>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</si>
  <si>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</si>
  <si>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</si>
  <si>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</si>
  <si>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</si>
  <si>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</si>
  <si>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</si>
  <si>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</si>
  <si>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</si>
  <si>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</si>
  <si>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</si>
  <si>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</si>
  <si>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</si>
  <si>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</si>
  <si>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</si>
  <si>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</si>
  <si>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</si>
  <si>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</si>
  <si>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</si>
  <si>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</si>
  <si>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</si>
  <si>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</si>
  <si>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</si>
  <si>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</si>
  <si>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</si>
  <si>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</si>
  <si>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</si>
  <si>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</si>
  <si>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</si>
  <si>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</si>
  <si>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</si>
  <si>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</si>
  <si>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</si>
  <si>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</si>
  <si>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</si>
  <si>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</si>
  <si>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</si>
  <si>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</si>
  <si>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</si>
  <si>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</si>
  <si>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</si>
  <si>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</si>
  <si>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</si>
  <si>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</si>
  <si>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</si>
  <si>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</si>
  <si>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</si>
  <si>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</si>
  <si>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</si>
  <si>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</si>
  <si>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</si>
  <si>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</si>
  <si>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</si>
  <si>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</si>
  <si>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</si>
  <si>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</si>
  <si>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</si>
  <si>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</si>
  <si>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</si>
  <si>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</si>
  <si>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</si>
  <si>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</si>
  <si>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</si>
  <si>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</si>
  <si>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</si>
  <si>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</si>
  <si>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</si>
  <si>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</si>
  <si>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</si>
  <si>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</si>
  <si>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</si>
  <si>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</si>
  <si>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</si>
  <si>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</si>
  <si>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</si>
  <si>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</si>
  <si>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</si>
  <si>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</si>
  <si>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</si>
  <si>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</si>
  <si>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</si>
  <si>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</si>
  <si>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</si>
  <si>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</si>
  <si>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</si>
  <si>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</si>
  <si>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</si>
  <si>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</si>
  <si>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</si>
  <si>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</si>
  <si>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</si>
  <si>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</si>
  <si>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</si>
  <si>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</si>
  <si>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</si>
  <si>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</si>
  <si>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</si>
  <si>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</si>
  <si>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</si>
  <si>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</si>
  <si>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</si>
  <si>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</si>
  <si>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</si>
  <si>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</si>
  <si>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</si>
  <si>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</si>
  <si>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</si>
  <si>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</si>
  <si>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</si>
  <si>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</si>
  <si>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</si>
  <si>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</si>
  <si>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</si>
  <si>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</si>
  <si>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</si>
  <si>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</si>
  <si>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</si>
  <si>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</si>
  <si>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</si>
  <si>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</si>
  <si>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</si>
  <si>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</si>
  <si>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</si>
  <si>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</si>
  <si>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</si>
  <si>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</si>
  <si>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</si>
  <si>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</si>
  <si>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</si>
  <si>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</si>
  <si>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</si>
  <si>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</si>
  <si>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</si>
  <si>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</si>
  <si>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</si>
  <si>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</si>
  <si>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</si>
  <si>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</si>
  <si>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</si>
  <si>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</si>
  <si>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</si>
  <si>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</si>
  <si>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</si>
  <si>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</si>
  <si>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</si>
  <si>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</si>
  <si>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</si>
  <si>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</si>
  <si>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</si>
  <si>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</si>
  <si>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</si>
  <si>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</si>
  <si>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</si>
  <si>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</si>
  <si>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</si>
  <si>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</si>
  <si>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</si>
  <si>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</si>
  <si>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</si>
  <si>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</si>
  <si>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</si>
  <si>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</si>
  <si>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</si>
  <si>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</si>
  <si>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</si>
  <si>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</si>
  <si>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</si>
  <si>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</si>
  <si>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</si>
  <si>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</si>
  <si>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</si>
  <si>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</si>
  <si>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</si>
  <si>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</si>
  <si>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</si>
  <si>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</si>
  <si>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</si>
  <si>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</si>
  <si>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</si>
  <si>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</si>
  <si>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</si>
  <si>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</si>
  <si>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</si>
  <si>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</si>
  <si>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</si>
  <si>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</si>
  <si>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</si>
  <si>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</si>
  <si>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</si>
  <si>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</si>
  <si>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</si>
  <si>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</si>
  <si>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</si>
  <si>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</si>
  <si>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</si>
  <si>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</si>
  <si>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</si>
  <si>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</si>
  <si>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</si>
  <si>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</si>
  <si>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</si>
  <si>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</si>
  <si>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</si>
  <si>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</si>
  <si>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</si>
  <si>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</si>
  <si>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</si>
  <si>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</si>
  <si>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</si>
  <si>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</si>
  <si>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</si>
  <si>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</si>
  <si>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</si>
  <si>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</si>
  <si>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</si>
  <si>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</si>
  <si>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</si>
  <si>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</si>
  <si>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</si>
  <si>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</si>
  <si>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</si>
  <si>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</si>
  <si>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</si>
  <si>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</si>
  <si>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</si>
  <si>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</si>
  <si>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</si>
  <si>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</si>
  <si>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</si>
  <si>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</si>
  <si>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</si>
  <si>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</si>
  <si>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</si>
  <si>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</si>
  <si>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</si>
  <si>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</si>
  <si>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</si>
  <si>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</si>
  <si>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</si>
  <si>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</si>
  <si>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</si>
  <si>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</si>
  <si>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</si>
  <si>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</si>
  <si>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</si>
  <si>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</si>
  <si>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</si>
  <si>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</si>
  <si>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</si>
  <si>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</si>
  <si>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</si>
  <si>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</si>
  <si>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</si>
  <si>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</si>
  <si>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</si>
  <si>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</si>
  <si>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</si>
  <si>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</si>
  <si>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</si>
  <si>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</si>
  <si>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</si>
  <si>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</si>
  <si>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</si>
  <si>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</si>
  <si>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</si>
  <si>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</si>
  <si>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</si>
  <si>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</si>
  <si>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</si>
  <si>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</si>
  <si>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</si>
  <si>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</si>
  <si>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</si>
  <si>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</si>
  <si>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</si>
  <si>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</si>
  <si>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</si>
  <si>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</si>
  <si>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</si>
  <si>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</si>
  <si>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</si>
  <si>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</si>
  <si>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</si>
  <si>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</si>
  <si>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</si>
  <si>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</si>
  <si>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</si>
  <si>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</si>
  <si>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</si>
  <si>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</si>
  <si>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</si>
  <si>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</si>
  <si>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</si>
  <si>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</si>
  <si>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</si>
  <si>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</si>
  <si>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</si>
  <si>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</si>
  <si>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</si>
  <si>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</si>
  <si>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</si>
  <si>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</si>
  <si>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</si>
  <si>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</si>
  <si>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</si>
  <si>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</si>
  <si>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</si>
  <si>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</si>
  <si>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</si>
  <si>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</si>
  <si>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</si>
  <si>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</si>
  <si>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</si>
  <si>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</si>
  <si>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</si>
  <si>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</si>
  <si>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</si>
  <si>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</si>
  <si>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</si>
  <si>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</si>
  <si>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</si>
  <si>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</si>
  <si>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</si>
  <si>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</si>
  <si>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</si>
  <si>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</si>
  <si>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</si>
  <si>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</si>
  <si>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</si>
  <si>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</si>
  <si>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</si>
  <si>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</si>
  <si>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</si>
  <si>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</si>
  <si>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</si>
  <si>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</si>
  <si>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</si>
  <si>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</si>
  <si>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</si>
  <si>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</si>
  <si>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</si>
  <si>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</si>
  <si>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</si>
  <si>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</si>
  <si>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</si>
  <si>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</si>
  <si>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</si>
  <si>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</si>
  <si>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</si>
  <si>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</si>
  <si>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</si>
  <si>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</si>
  <si>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</si>
  <si>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</si>
  <si>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</si>
  <si>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</si>
  <si>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</si>
  <si>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</si>
  <si>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</si>
  <si>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</si>
  <si>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</si>
  <si>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</si>
  <si>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</si>
  <si>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</si>
  <si>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</si>
  <si>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</si>
  <si>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</si>
  <si>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</si>
  <si>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</si>
  <si>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</si>
  <si>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</si>
  <si>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</si>
  <si>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</si>
  <si>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</si>
  <si>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</si>
  <si>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</si>
  <si>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</si>
  <si>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</si>
  <si>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</si>
  <si>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</si>
  <si>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</si>
  <si>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</si>
  <si>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</si>
  <si>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</si>
  <si>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</si>
  <si>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</si>
  <si>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</si>
  <si>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</si>
  <si>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</si>
  <si>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</si>
  <si>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</si>
  <si>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</si>
  <si>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</si>
  <si>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</si>
  <si>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</si>
  <si>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</si>
  <si>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</si>
  <si>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</si>
  <si>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</si>
  <si>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</si>
  <si>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</si>
  <si>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</si>
  <si>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</si>
  <si>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</si>
  <si>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</si>
  <si>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</si>
  <si>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</si>
  <si>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</si>
  <si>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</si>
  <si>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</si>
  <si>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</si>
  <si>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</si>
  <si>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</si>
  <si>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</si>
  <si>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</si>
  <si>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</si>
  <si>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</si>
  <si>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</si>
  <si>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</si>
  <si>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</si>
  <si>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</si>
  <si>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</si>
  <si>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</si>
  <si>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</si>
  <si>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</si>
  <si>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</si>
  <si>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</si>
  <si>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</si>
  <si>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</si>
  <si>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</si>
  <si>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</si>
  <si>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</si>
  <si>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</si>
  <si>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</si>
  <si>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</si>
  <si>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</si>
  <si>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</si>
  <si>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</si>
  <si>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</si>
  <si>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</si>
  <si>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</si>
  <si>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</si>
  <si>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</si>
  <si>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</si>
  <si>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</si>
  <si>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</si>
  <si>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</si>
  <si>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</si>
  <si>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</si>
  <si>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</si>
  <si>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</si>
  <si>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</si>
  <si>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</si>
  <si>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</si>
  <si>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</si>
  <si>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</si>
  <si>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</si>
  <si>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</si>
  <si>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</si>
  <si>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</si>
  <si>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</si>
  <si>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</si>
  <si>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</si>
  <si>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</si>
  <si>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</si>
  <si>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</si>
  <si>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</si>
  <si>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</si>
  <si>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</si>
  <si>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</si>
  <si>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</si>
  <si>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</si>
  <si>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</si>
  <si>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</si>
  <si>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</si>
  <si>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</si>
  <si>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</si>
  <si>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</si>
  <si>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</si>
  <si>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</si>
  <si>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</si>
  <si>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</si>
  <si>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</si>
  <si>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</si>
  <si>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</si>
  <si>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</si>
  <si>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</si>
  <si>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</si>
  <si>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</si>
  <si>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</si>
  <si>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</si>
  <si>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</si>
  <si>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</si>
  <si>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</si>
  <si>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</si>
  <si>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</si>
  <si>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</si>
  <si>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</si>
  <si>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</si>
  <si>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</si>
  <si>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</si>
  <si>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</si>
  <si>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</si>
  <si>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</si>
  <si>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</si>
  <si>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</si>
  <si>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</si>
  <si>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</si>
  <si>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</si>
  <si>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</si>
  <si>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</si>
  <si>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</si>
  <si>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</si>
  <si>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</si>
  <si>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</si>
  <si>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</si>
  <si>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</si>
  <si>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</si>
  <si>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</si>
  <si>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</si>
  <si>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</si>
  <si>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</si>
  <si>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</si>
  <si>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</si>
  <si>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</si>
  <si>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</si>
  <si>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</si>
  <si>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</si>
  <si>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</si>
  <si>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</si>
  <si>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</si>
  <si>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</si>
  <si>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</si>
  <si>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</si>
  <si>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</si>
  <si>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</si>
  <si>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</si>
  <si>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</si>
  <si>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</si>
  <si>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</si>
  <si>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</si>
  <si>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</si>
  <si>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</si>
  <si>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</si>
  <si>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</si>
  <si>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</si>
  <si>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</si>
  <si>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</si>
  <si>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</si>
  <si>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</si>
  <si>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</si>
  <si>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</si>
  <si>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</si>
  <si>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</si>
  <si>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</si>
  <si>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</si>
  <si>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</si>
  <si>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</si>
  <si>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</si>
  <si>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</si>
  <si>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</si>
  <si>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</si>
  <si>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</si>
  <si>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</si>
  <si>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</si>
  <si>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</si>
  <si>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</si>
  <si>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</si>
  <si>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</si>
  <si>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</si>
  <si>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</si>
  <si>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</si>
  <si>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</si>
  <si>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</si>
  <si>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</si>
  <si>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</si>
  <si>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</si>
  <si>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</si>
  <si>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</si>
  <si>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</si>
  <si>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</si>
  <si>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</si>
  <si>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</si>
  <si>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</si>
  <si>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</si>
  <si>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</si>
  <si>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</si>
  <si>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</si>
  <si>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</si>
  <si>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</si>
  <si>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</si>
  <si>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</si>
  <si>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</si>
  <si>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</si>
  <si>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</si>
  <si>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</si>
  <si>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</si>
  <si>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</si>
  <si>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</si>
  <si>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</si>
  <si>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</si>
  <si>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</si>
  <si>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</si>
  <si>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</si>
  <si>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</si>
  <si>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</si>
  <si>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</si>
  <si>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</si>
  <si>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</si>
  <si>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</si>
  <si>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</si>
  <si>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</si>
  <si>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</si>
  <si>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</si>
  <si>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</si>
  <si>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</si>
  <si>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</si>
  <si>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</si>
  <si>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</si>
  <si>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</si>
  <si>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</si>
  <si>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</si>
  <si>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</si>
  <si>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</si>
  <si>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</si>
  <si>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</si>
  <si>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</si>
  <si>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</si>
  <si>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</si>
  <si>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</si>
  <si>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</si>
  <si>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</si>
  <si>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</si>
  <si>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</si>
  <si>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</si>
  <si>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</si>
  <si>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</si>
  <si>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</si>
  <si>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</si>
  <si>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</si>
  <si>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</si>
  <si>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</si>
  <si>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</si>
  <si>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</si>
  <si>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</si>
  <si>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</si>
  <si>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</si>
  <si>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</si>
  <si>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</si>
  <si>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</si>
  <si>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</si>
  <si>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</si>
  <si>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</si>
  <si>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</si>
  <si>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</si>
  <si>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</si>
  <si>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</si>
  <si>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</si>
  <si>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</si>
  <si>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</si>
  <si>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</si>
  <si>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</si>
  <si>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</si>
  <si>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</si>
  <si>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</si>
  <si>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</si>
  <si>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</si>
  <si>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</si>
  <si>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</si>
  <si>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</si>
  <si>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</si>
  <si>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</si>
  <si>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</si>
  <si>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</si>
  <si>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</si>
  <si>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</si>
  <si>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</si>
  <si>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</si>
  <si>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</si>
  <si>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</si>
  <si>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</si>
  <si>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</si>
  <si>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</si>
  <si>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</si>
  <si>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</si>
  <si>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</si>
  <si>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</si>
  <si>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</si>
  <si>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</si>
  <si>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</si>
  <si>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</si>
  <si>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</si>
  <si>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</si>
  <si>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</si>
  <si>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</si>
  <si>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</si>
  <si>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</si>
  <si>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</si>
  <si>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</si>
  <si>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</si>
  <si>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</si>
  <si>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</si>
  <si>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</si>
  <si>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</si>
  <si>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</si>
  <si>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</si>
  <si>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</si>
  <si>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</si>
  <si>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</si>
  <si>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</si>
  <si>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</si>
  <si>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</si>
  <si>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</si>
  <si>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</si>
  <si>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</si>
  <si>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</si>
  <si>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</si>
  <si>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</si>
  <si>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</si>
  <si>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</si>
  <si>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</si>
  <si>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</si>
  <si>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</si>
  <si>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</si>
  <si>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</si>
  <si>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</si>
  <si>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</si>
  <si>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</si>
  <si>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</si>
  <si>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</si>
  <si>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</si>
  <si>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</si>
  <si>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</si>
  <si>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</si>
  <si>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</si>
  <si>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</si>
  <si>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</si>
  <si>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</si>
  <si>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</si>
  <si>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</si>
  <si>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</si>
  <si>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</si>
  <si>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</si>
  <si>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</si>
  <si>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</si>
  <si>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</si>
  <si>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</si>
  <si>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</si>
  <si>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</si>
  <si>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</si>
  <si>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</si>
  <si>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</si>
  <si>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</si>
  <si>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</si>
  <si>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</si>
  <si>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</si>
  <si>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</si>
  <si>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</si>
  <si>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</si>
  <si>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</si>
  <si>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</si>
  <si>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</si>
  <si>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</si>
  <si>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</si>
  <si>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</si>
  <si>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</si>
  <si>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</si>
  <si>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</si>
  <si>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</si>
  <si>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</si>
  <si>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</si>
  <si>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</si>
  <si>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</si>
  <si>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</si>
  <si>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</si>
  <si>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</si>
  <si>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</si>
  <si>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</si>
  <si>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</si>
  <si>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</si>
  <si>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</si>
  <si>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</si>
  <si>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</si>
  <si>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</si>
  <si>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</si>
  <si>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</si>
  <si>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</si>
  <si>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</si>
  <si>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</si>
  <si>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</si>
  <si>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</si>
  <si>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</si>
  <si>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</si>
  <si>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</si>
  <si>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</si>
  <si>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</si>
  <si>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</si>
  <si>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</si>
  <si>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</si>
  <si>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</si>
  <si>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</si>
  <si>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</si>
  <si>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</si>
  <si>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</si>
  <si>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</si>
  <si>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</si>
  <si>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</si>
  <si>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</si>
  <si>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</si>
  <si>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</si>
  <si>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</si>
  <si>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</si>
  <si>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</si>
  <si>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</si>
  <si>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</si>
  <si>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</si>
  <si>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</si>
  <si>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</si>
  <si>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</si>
  <si>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</si>
  <si>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</si>
  <si>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</si>
  <si>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</si>
  <si>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</si>
  <si>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</si>
  <si>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</si>
  <si>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</si>
  <si>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</si>
  <si>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</si>
  <si>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</si>
  <si>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</si>
  <si>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</si>
  <si>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</si>
  <si>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</si>
  <si>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</si>
  <si>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</si>
  <si>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</si>
  <si>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</si>
  <si>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</si>
  <si>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</si>
  <si>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</si>
  <si>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</si>
  <si>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</si>
  <si>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</si>
  <si>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</si>
  <si>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</si>
  <si>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</si>
  <si>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</si>
  <si>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</si>
  <si>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</si>
  <si>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</si>
  <si>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</si>
  <si>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</si>
  <si>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</si>
  <si>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</si>
  <si>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</si>
  <si>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</si>
  <si>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</si>
  <si>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</si>
  <si>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</si>
  <si>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</si>
  <si>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</si>
  <si>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</si>
  <si>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</si>
  <si>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</si>
  <si>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</si>
  <si>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</si>
  <si>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</si>
  <si>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</si>
  <si>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</si>
  <si>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</si>
  <si>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</si>
  <si>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</si>
  <si>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</si>
  <si>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</si>
  <si>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</si>
  <si>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</si>
  <si>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</si>
  <si>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</si>
  <si>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</si>
  <si>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</si>
  <si>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</si>
  <si>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</si>
  <si>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</si>
  <si>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</si>
  <si>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</si>
  <si>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</si>
  <si>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</si>
  <si>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</si>
  <si>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</si>
  <si>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</si>
  <si>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</si>
  <si>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</si>
  <si>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</si>
  <si>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</si>
  <si>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</si>
  <si>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</si>
  <si>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</si>
  <si>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</si>
  <si>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</si>
  <si>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</si>
  <si>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</si>
  <si>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</si>
  <si>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</si>
  <si>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</si>
  <si>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</si>
  <si>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</si>
  <si>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</si>
  <si>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</si>
  <si>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</si>
  <si>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</si>
  <si>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</si>
  <si>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</si>
  <si>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</si>
  <si>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</si>
  <si>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</si>
  <si>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</si>
  <si>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</si>
  <si>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</si>
  <si>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</si>
  <si>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</si>
  <si>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</si>
  <si>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</si>
  <si>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</si>
  <si>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</si>
  <si>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</si>
  <si>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</si>
  <si>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</si>
  <si>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</si>
  <si>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</si>
  <si>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</si>
  <si>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</si>
  <si>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</si>
  <si>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</si>
  <si>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</si>
  <si>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</si>
  <si>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</si>
  <si>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</si>
  <si>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</si>
  <si>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</si>
  <si>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</si>
  <si>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</si>
  <si>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</si>
  <si>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</si>
  <si>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</si>
  <si>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</si>
  <si>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</si>
  <si>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</si>
  <si>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</si>
  <si>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</si>
  <si>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</si>
  <si>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</si>
  <si>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</si>
  <si>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</si>
  <si>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</si>
  <si>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</si>
  <si>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</si>
  <si>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</si>
  <si>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</si>
  <si>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</si>
  <si>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</si>
  <si>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</si>
  <si>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</si>
  <si>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</si>
  <si>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</si>
  <si>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</si>
  <si>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</si>
  <si>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</si>
  <si>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</si>
  <si>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</si>
  <si>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</si>
  <si>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</si>
  <si>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</si>
  <si>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</si>
  <si>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</si>
  <si>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</si>
  <si>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</si>
  <si>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</si>
  <si>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</si>
  <si>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</si>
  <si>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</si>
  <si>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</si>
  <si>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</si>
  <si>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</si>
  <si>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</si>
  <si>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</si>
  <si>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</si>
  <si>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</si>
  <si>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</si>
  <si>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</si>
  <si>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</si>
  <si>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</si>
  <si>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</si>
  <si>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</si>
  <si>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</si>
  <si>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</si>
  <si>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</si>
  <si>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</si>
  <si>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</si>
  <si>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</si>
  <si>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</si>
  <si>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</si>
  <si>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</si>
  <si>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</si>
  <si>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</si>
  <si>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</si>
  <si>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</si>
  <si>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</si>
  <si>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</si>
  <si>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</si>
  <si>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</si>
  <si>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</si>
  <si>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</si>
  <si>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</si>
  <si>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</si>
  <si>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</si>
  <si>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</si>
  <si>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</si>
  <si>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</si>
  <si>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</si>
  <si>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</si>
  <si>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</si>
  <si>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</si>
  <si>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</si>
  <si>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</si>
  <si>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</si>
  <si>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</si>
  <si>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</si>
  <si>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</si>
  <si>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</si>
  <si>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</si>
  <si>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</si>
  <si>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</si>
  <si>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</si>
  <si>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</si>
  <si>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</si>
  <si>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</si>
  <si>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</si>
  <si>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</si>
  <si>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</si>
  <si>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</si>
  <si>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</si>
  <si>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</si>
  <si>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</si>
  <si>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</si>
  <si>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</si>
  <si>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</si>
  <si>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</si>
  <si>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</si>
  <si>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</si>
  <si>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</si>
  <si>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</si>
  <si>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</si>
  <si>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</si>
  <si>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</si>
  <si>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</si>
  <si>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</si>
  <si>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</si>
  <si>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</si>
  <si>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</si>
  <si>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</si>
  <si>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</si>
  <si>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</si>
  <si>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</si>
  <si>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</si>
  <si>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</si>
  <si>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</si>
  <si>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</si>
  <si>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</si>
  <si>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</si>
  <si>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</si>
  <si>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</si>
  <si>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</si>
  <si>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</si>
  <si>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</si>
  <si>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</si>
  <si>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</si>
  <si>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</si>
  <si>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</si>
  <si>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</si>
  <si>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</si>
  <si>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</si>
  <si>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</si>
  <si>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</si>
  <si>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</si>
  <si>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</si>
  <si>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</si>
  <si>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</si>
  <si>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</si>
  <si>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</si>
  <si>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</si>
  <si>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</si>
  <si>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</si>
  <si>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</si>
  <si>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</si>
  <si>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</si>
  <si>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</si>
  <si>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</si>
  <si>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</si>
  <si>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</si>
  <si>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</si>
  <si>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</si>
  <si>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</si>
  <si>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</si>
  <si>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</si>
  <si>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</si>
  <si>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</si>
  <si>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</si>
  <si>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</si>
  <si>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</si>
  <si>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</si>
  <si>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</si>
  <si>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</si>
  <si>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</si>
  <si>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</si>
  <si>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</si>
  <si>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</si>
  <si>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</si>
  <si>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</si>
  <si>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</si>
  <si>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</si>
  <si>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</si>
  <si>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</si>
  <si>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</si>
  <si>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</si>
  <si>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</si>
  <si>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</si>
  <si>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</si>
  <si>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</si>
  <si>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</si>
  <si>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</si>
  <si>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</si>
  <si>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</si>
  <si>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</si>
  <si>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DFA2025080</t>
  </si>
  <si>
    <t>25017</t>
  </si>
  <si>
    <t>Spracovanie účtovníctva 01/2025</t>
  </si>
  <si>
    <t>DFA2025082</t>
  </si>
  <si>
    <t>26</t>
  </si>
  <si>
    <t xml:space="preserve">Štartovné poomsae ME </t>
  </si>
  <si>
    <t xml:space="preserve">European taekwondo union </t>
  </si>
  <si>
    <t>36869376</t>
  </si>
  <si>
    <t>Fio Banka</t>
  </si>
  <si>
    <t>Poplatok banke</t>
  </si>
  <si>
    <t>016/2025</t>
  </si>
  <si>
    <t>DFA2025086</t>
  </si>
  <si>
    <t>DFA2025100</t>
  </si>
  <si>
    <t>262</t>
  </si>
  <si>
    <t>d - Bérešová Adriana</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</si>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</sst>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4"/>
      <c r="D1" s="314"/>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5"/>
      <c r="D21" s="315"/>
    </row>
    <row r="22" spans="1:4" x14ac:dyDescent="0.15">
      <c r="C22" s="316"/>
      <c r="D22" s="315"/>
    </row>
    <row r="23" spans="1:4" ht="70" x14ac:dyDescent="0.15">
      <c r="A23" s="23" t="s">
        <v>16</v>
      </c>
      <c r="C23" s="255"/>
      <c r="D23" s="256"/>
    </row>
    <row r="24" spans="1:4" ht="12.75" customHeight="1" x14ac:dyDescent="0.15">
      <c r="C24" s="312"/>
      <c r="D24" s="313"/>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7" t="s">
        <v>93</v>
      </c>
      <c r="B1" s="317"/>
      <c r="C1" s="317"/>
      <c r="D1" s="317"/>
      <c r="E1" s="317"/>
      <c r="F1" s="317"/>
      <c r="G1" s="317"/>
      <c r="H1" s="317"/>
      <c r="I1" s="52"/>
      <c r="J1" s="37"/>
    </row>
    <row r="2" spans="1:11" ht="16" x14ac:dyDescent="0.2">
      <c r="A2" s="323" t="s">
        <v>94</v>
      </c>
      <c r="B2" s="323"/>
      <c r="C2" s="323"/>
      <c r="D2" s="323"/>
      <c r="E2" s="323"/>
      <c r="F2" s="323"/>
      <c r="G2" s="323"/>
      <c r="H2" s="321" t="str">
        <f>+Doklady!I100</f>
        <v>V1</v>
      </c>
      <c r="I2" s="321"/>
    </row>
    <row r="3" spans="1:11" ht="14" x14ac:dyDescent="0.15">
      <c r="A3" s="40"/>
      <c r="B3" s="40"/>
      <c r="C3" s="40"/>
      <c r="D3" s="40"/>
      <c r="E3" s="40"/>
      <c r="F3" s="40"/>
      <c r="G3" s="40"/>
      <c r="H3" s="322">
        <f>+Doklady!I101</f>
        <v>45740</v>
      </c>
      <c r="I3" s="322"/>
    </row>
    <row r="4" spans="1:11" ht="15.75" customHeight="1" x14ac:dyDescent="0.15">
      <c r="A4" s="41" t="s">
        <v>95</v>
      </c>
      <c r="B4" s="318" t="s">
        <v>96</v>
      </c>
      <c r="C4" s="319"/>
      <c r="D4" s="319"/>
      <c r="E4" s="320"/>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6" priority="2" stopIfTrue="1">
      <formula>$A78&lt;&gt;""</formula>
    </cfRule>
  </conditionalFormatting>
  <conditionalFormatting sqref="A8:I76 I78">
    <cfRule type="expression" dxfId="105" priority="7" stopIfTrue="1">
      <formula>$A8&lt;&gt;""</formula>
    </cfRule>
  </conditionalFormatting>
  <conditionalFormatting sqref="B78:H2888">
    <cfRule type="expression" dxfId="104" priority="3" stopIfTrue="1">
      <formula>$A78&lt;&gt;""</formula>
    </cfRule>
  </conditionalFormatting>
  <conditionalFormatting sqref="D2886:D2913">
    <cfRule type="expression" dxfId="103"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6" t="s">
        <v>347</v>
      </c>
      <c r="B1" s="327"/>
      <c r="C1" s="174">
        <v>45688</v>
      </c>
      <c r="D1" s="26"/>
      <c r="G1" s="252">
        <v>45688</v>
      </c>
    </row>
    <row r="2" spans="1:7" ht="14" x14ac:dyDescent="0.15">
      <c r="A2" s="28"/>
      <c r="B2" s="28"/>
      <c r="G2" s="252">
        <v>45716</v>
      </c>
    </row>
    <row r="3" spans="1:7" ht="14" x14ac:dyDescent="0.15">
      <c r="A3" s="30" t="s">
        <v>348</v>
      </c>
      <c r="B3" s="324" t="str">
        <f>INDEX(Adr!B:B,Doklady!B102+1)</f>
        <v>Slovenská asociácia taekwondo WT</v>
      </c>
      <c r="C3" s="324"/>
      <c r="D3" s="324"/>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5" t="s">
        <v>364</v>
      </c>
      <c r="B17" s="325"/>
      <c r="C17" s="325"/>
      <c r="D17" s="325"/>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6" t="s">
        <v>365</v>
      </c>
      <c r="B1" s="336"/>
      <c r="C1" s="336"/>
      <c r="D1" s="336"/>
      <c r="E1" s="336"/>
      <c r="F1" s="336"/>
      <c r="G1" s="336"/>
      <c r="H1" s="336"/>
      <c r="I1" s="336"/>
    </row>
    <row r="2" spans="1:26" ht="7.5" customHeight="1" x14ac:dyDescent="0.15">
      <c r="C2" s="8"/>
      <c r="D2" s="8"/>
      <c r="E2" s="8"/>
      <c r="F2" s="8"/>
      <c r="G2" s="8"/>
      <c r="H2" s="8"/>
      <c r="I2" s="8"/>
    </row>
    <row r="3" spans="1:26" s="9" customFormat="1" ht="26" customHeight="1" x14ac:dyDescent="0.15">
      <c r="B3" s="160" t="s">
        <v>95</v>
      </c>
      <c r="C3" s="337" t="str">
        <f>INDEX(Adr!B2:B70,Doklady!B102)</f>
        <v>Slovenská asociácia taekwondo WT</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38" t="s">
        <v>370</v>
      </c>
      <c r="F9" s="339"/>
      <c r="J9" s="8"/>
      <c r="L9" s="118"/>
      <c r="M9" s="118"/>
      <c r="N9" s="118"/>
      <c r="O9" s="118"/>
      <c r="P9" s="118"/>
      <c r="Q9" s="118"/>
      <c r="R9" s="118"/>
      <c r="S9" s="118"/>
    </row>
    <row r="10" spans="1:26" ht="18" x14ac:dyDescent="0.2">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
      <c r="A11" s="69" t="s">
        <v>355</v>
      </c>
      <c r="B11" s="70" t="s">
        <v>356</v>
      </c>
      <c r="C11" s="126">
        <f>SUMIF(FP!J:J,Doklady!$B$1&amp;A11,FP!D:D)</f>
        <v>75685</v>
      </c>
      <c r="D11" s="126">
        <f>+C11-E11</f>
        <v>15974.010000000002</v>
      </c>
      <c r="E11" s="340">
        <f>+I39-I42+I44-I47</f>
        <v>59710.99</v>
      </c>
      <c r="F11" s="341"/>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2371.1200000000026</v>
      </c>
      <c r="E12" s="329">
        <f>SUMIF(K:K,A12,I:I)</f>
        <v>41973.88</v>
      </c>
      <c r="F12" s="330"/>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4" t="s">
        <v>376</v>
      </c>
      <c r="C17" s="344"/>
      <c r="D17" s="344"/>
      <c r="E17" s="344"/>
      <c r="F17" s="344"/>
      <c r="G17" s="344"/>
      <c r="H17" s="344"/>
      <c r="I17" s="73">
        <f>SUMIF(FP!I:I,Doklady!$B$1&amp;A17,FP!D:D)</f>
        <v>75685</v>
      </c>
      <c r="T17" s="86"/>
    </row>
    <row r="18" spans="1:20" x14ac:dyDescent="0.15">
      <c r="A18" s="135" t="s">
        <v>377</v>
      </c>
      <c r="B18" s="344" t="s">
        <v>378</v>
      </c>
      <c r="C18" s="344"/>
      <c r="D18" s="344"/>
      <c r="E18" s="344"/>
      <c r="F18" s="344"/>
      <c r="G18" s="344"/>
      <c r="H18" s="344"/>
      <c r="I18" s="73">
        <f>SUMIF(FP!I:I,Doklady!$B$1&amp;A18,FP!D:D)</f>
        <v>0</v>
      </c>
    </row>
    <row r="19" spans="1:20" ht="12" x14ac:dyDescent="0.15">
      <c r="A19" s="115" t="s">
        <v>379</v>
      </c>
      <c r="B19" s="344" t="s">
        <v>380</v>
      </c>
      <c r="C19" s="344"/>
      <c r="D19" s="344"/>
      <c r="E19" s="344"/>
      <c r="F19" s="344"/>
      <c r="G19" s="344"/>
      <c r="H19" s="344"/>
      <c r="I19" s="73">
        <f>SUMIF(FP!I:I,Doklady!$B$1&amp;A19,FP!D:D)</f>
        <v>9345</v>
      </c>
    </row>
    <row r="20" spans="1:20" x14ac:dyDescent="0.15">
      <c r="A20" s="135" t="s">
        <v>381</v>
      </c>
      <c r="B20" s="333" t="s">
        <v>382</v>
      </c>
      <c r="C20" s="334"/>
      <c r="D20" s="334"/>
      <c r="E20" s="334"/>
      <c r="F20" s="334"/>
      <c r="G20" s="334"/>
      <c r="H20" s="335"/>
      <c r="I20" s="73">
        <f>SUMIF(FP!I:I,Doklady!$B$1&amp;A20,FP!D:D)</f>
        <v>35000</v>
      </c>
      <c r="T20" s="86"/>
    </row>
    <row r="21" spans="1:20" ht="12" x14ac:dyDescent="0.15">
      <c r="A21" s="115" t="s">
        <v>383</v>
      </c>
      <c r="B21" s="333" t="s">
        <v>384</v>
      </c>
      <c r="C21" s="334"/>
      <c r="D21" s="334"/>
      <c r="E21" s="334"/>
      <c r="F21" s="334"/>
      <c r="G21" s="334"/>
      <c r="H21" s="335"/>
      <c r="I21" s="73">
        <f>SUMIF(FP!I:I,Doklady!$B$1&amp;A21,FP!D:D)</f>
        <v>0</v>
      </c>
      <c r="T21" s="86"/>
    </row>
    <row r="22" spans="1:20" x14ac:dyDescent="0.15">
      <c r="A22" s="135" t="s">
        <v>385</v>
      </c>
      <c r="B22" s="352" t="s">
        <v>386</v>
      </c>
      <c r="C22" s="353"/>
      <c r="D22" s="353"/>
      <c r="E22" s="353"/>
      <c r="F22" s="353"/>
      <c r="G22" s="353"/>
      <c r="H22" s="354"/>
      <c r="I22" s="73">
        <f>SUMIF(FP!I:I,Doklady!$B$1&amp;A22,FP!D:D)</f>
        <v>0</v>
      </c>
      <c r="T22" s="86"/>
    </row>
    <row r="23" spans="1:20" ht="12" x14ac:dyDescent="0.15">
      <c r="A23" s="115" t="s">
        <v>387</v>
      </c>
      <c r="B23" s="333" t="s">
        <v>388</v>
      </c>
      <c r="C23" s="334"/>
      <c r="D23" s="334"/>
      <c r="E23" s="334"/>
      <c r="F23" s="334"/>
      <c r="G23" s="334"/>
      <c r="H23" s="335"/>
      <c r="I23" s="73">
        <f>SUMIF(FP!I:I,Doklady!$B$1&amp;A23,FP!D:D)</f>
        <v>0</v>
      </c>
      <c r="T23" s="86"/>
    </row>
    <row r="24" spans="1:20" x14ac:dyDescent="0.15">
      <c r="A24" s="135" t="s">
        <v>389</v>
      </c>
      <c r="B24" s="333" t="s">
        <v>390</v>
      </c>
      <c r="C24" s="334"/>
      <c r="D24" s="334"/>
      <c r="E24" s="334"/>
      <c r="F24" s="334"/>
      <c r="G24" s="334"/>
      <c r="H24" s="335"/>
      <c r="I24" s="73">
        <f>SUMIF(FP!I:I,Doklady!$B$1&amp;A24,FP!D:D)</f>
        <v>0</v>
      </c>
      <c r="T24" s="86"/>
    </row>
    <row r="25" spans="1:20" ht="12" x14ac:dyDescent="0.15">
      <c r="A25" s="115" t="s">
        <v>391</v>
      </c>
      <c r="B25" s="345" t="s">
        <v>392</v>
      </c>
      <c r="C25" s="346"/>
      <c r="D25" s="346"/>
      <c r="E25" s="346"/>
      <c r="F25" s="346"/>
      <c r="G25" s="346"/>
      <c r="H25" s="347"/>
      <c r="I25" s="73">
        <f>SUMIF(FP!I:I,Doklady!$B$1&amp;A25,FP!D:D)</f>
        <v>0</v>
      </c>
      <c r="T25" s="86"/>
    </row>
    <row r="26" spans="1:20" x14ac:dyDescent="0.15">
      <c r="A26" s="135" t="s">
        <v>393</v>
      </c>
      <c r="B26" s="333" t="s">
        <v>394</v>
      </c>
      <c r="C26" s="334"/>
      <c r="D26" s="334"/>
      <c r="E26" s="334"/>
      <c r="F26" s="334"/>
      <c r="G26" s="334"/>
      <c r="H26" s="335"/>
      <c r="I26" s="73">
        <f>SUMIF(FP!I:I,Doklady!$B$1&amp;A26,FP!D:D)</f>
        <v>0</v>
      </c>
      <c r="T26" s="86"/>
    </row>
    <row r="27" spans="1:20" ht="12" x14ac:dyDescent="0.15">
      <c r="A27" s="115" t="s">
        <v>395</v>
      </c>
      <c r="B27" s="333" t="s">
        <v>396</v>
      </c>
      <c r="C27" s="334"/>
      <c r="D27" s="334"/>
      <c r="E27" s="334"/>
      <c r="F27" s="334"/>
      <c r="G27" s="334"/>
      <c r="H27" s="335"/>
      <c r="I27" s="73">
        <f>SUMIF(FP!I:I,Doklady!$B$1&amp;A27,FP!D:D)</f>
        <v>0</v>
      </c>
      <c r="T27" s="86"/>
    </row>
    <row r="28" spans="1:20" x14ac:dyDescent="0.15">
      <c r="A28" s="135" t="s">
        <v>397</v>
      </c>
      <c r="B28" s="333" t="s">
        <v>398</v>
      </c>
      <c r="C28" s="334"/>
      <c r="D28" s="334"/>
      <c r="E28" s="334"/>
      <c r="F28" s="334"/>
      <c r="G28" s="334"/>
      <c r="H28" s="335"/>
      <c r="I28" s="73">
        <f>SUMIF(FP!I:I,Doklady!$B$1&amp;A28,FP!D:D)</f>
        <v>0</v>
      </c>
      <c r="T28" s="86"/>
    </row>
    <row r="29" spans="1:20" ht="12" x14ac:dyDescent="0.15">
      <c r="A29" s="115" t="s">
        <v>399</v>
      </c>
      <c r="B29" s="333" t="s">
        <v>400</v>
      </c>
      <c r="C29" s="334"/>
      <c r="D29" s="334"/>
      <c r="E29" s="334"/>
      <c r="F29" s="334"/>
      <c r="G29" s="334"/>
      <c r="H29" s="335"/>
      <c r="I29" s="73">
        <f>SUMIF(FP!I:I,Doklady!$B$1&amp;A29,FP!D:D)</f>
        <v>0</v>
      </c>
      <c r="T29" s="86"/>
    </row>
    <row r="30" spans="1:20" hidden="1" x14ac:dyDescent="0.15">
      <c r="A30" s="135" t="s">
        <v>401</v>
      </c>
      <c r="B30" s="333"/>
      <c r="C30" s="334"/>
      <c r="D30" s="334"/>
      <c r="E30" s="334"/>
      <c r="F30" s="334"/>
      <c r="G30" s="334"/>
      <c r="H30" s="335"/>
      <c r="I30" s="73">
        <f>SUMIF(FP!I:I,Doklady!$B$1&amp;A30,FP!D:D)</f>
        <v>0</v>
      </c>
      <c r="T30" s="86"/>
    </row>
    <row r="31" spans="1:20" ht="12" hidden="1" x14ac:dyDescent="0.15">
      <c r="A31" s="115" t="s">
        <v>402</v>
      </c>
      <c r="B31" s="333"/>
      <c r="C31" s="334"/>
      <c r="D31" s="334"/>
      <c r="E31" s="334"/>
      <c r="F31" s="334"/>
      <c r="G31" s="334"/>
      <c r="H31" s="335"/>
      <c r="I31" s="73">
        <f>SUMIF(FP!I:I,Doklady!$B$1&amp;A31,FP!D:D)</f>
        <v>0</v>
      </c>
      <c r="T31" s="86"/>
    </row>
    <row r="32" spans="1:20" hidden="1" x14ac:dyDescent="0.15">
      <c r="A32" s="135" t="s">
        <v>403</v>
      </c>
      <c r="B32" s="355"/>
      <c r="C32" s="356"/>
      <c r="D32" s="356"/>
      <c r="E32" s="356"/>
      <c r="F32" s="356"/>
      <c r="G32" s="356"/>
      <c r="H32" s="357"/>
      <c r="I32" s="73">
        <f>SUMIF(FP!I:I,Doklady!$B$1&amp;A32,FP!D:D)</f>
        <v>0</v>
      </c>
      <c r="T32" s="86"/>
    </row>
    <row r="33" spans="1:21" ht="12" hidden="1" x14ac:dyDescent="0.15">
      <c r="A33" s="115" t="s">
        <v>404</v>
      </c>
      <c r="B33" s="355"/>
      <c r="C33" s="356"/>
      <c r="D33" s="356"/>
      <c r="E33" s="356"/>
      <c r="F33" s="356"/>
      <c r="G33" s="356"/>
      <c r="H33" s="357"/>
      <c r="I33" s="73">
        <f>SUMIF(FP!I:I,Doklady!$B$1&amp;A33,FP!D:D)</f>
        <v>0</v>
      </c>
      <c r="T33" s="86"/>
    </row>
    <row r="34" spans="1:21" hidden="1" x14ac:dyDescent="0.15">
      <c r="A34" s="135" t="s">
        <v>405</v>
      </c>
      <c r="B34" s="358"/>
      <c r="C34" s="358"/>
      <c r="D34" s="358"/>
      <c r="E34" s="358"/>
      <c r="F34" s="358"/>
      <c r="G34" s="358"/>
      <c r="H34" s="358"/>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DSUM(Doklady!A103:J10001,"GGG",Spolu!L40:M42)</f>
        <v>5928.13</v>
      </c>
      <c r="D40" s="78">
        <f>DSUM(Doklady!A103:J10001,"GGG",Spolu!N40:O42)</f>
        <v>1730.46</v>
      </c>
      <c r="E40" s="78">
        <f>DSUM(Doklady!A103:J10001,"GGG",Spolu!P40:Q42)</f>
        <v>3305.27</v>
      </c>
      <c r="F40" s="78">
        <f>DSUM(Doklady!A103:J10001,"GGG",Spolu!R40:S42)</f>
        <v>3060</v>
      </c>
      <c r="G40" s="78">
        <f>DSUM(Doklady!A103:J10001,"GGG",Spolu!T40:U42)-H40</f>
        <v>1950.15</v>
      </c>
      <c r="H40" s="78">
        <f>+IFERROR(VLOOKUP(K40&amp;" - kapitálové transfery",B$53:D$90,3,0),0)</f>
        <v>0</v>
      </c>
      <c r="I40" s="73">
        <f>+C40+D40+E40+F40+G40+H40</f>
        <v>15974.01</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59710.99</v>
      </c>
      <c r="J41" s="219">
        <f>+K46</f>
        <v>0</v>
      </c>
      <c r="K41" s="219">
        <f>+I41-H41</f>
        <v>59710.99</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5928.13</v>
      </c>
      <c r="D42" s="216">
        <f>+D40</f>
        <v>1730.46</v>
      </c>
      <c r="E42" s="216">
        <f>+E40</f>
        <v>3305.27</v>
      </c>
      <c r="F42" s="216">
        <f>+MIN(F39:F40)</f>
        <v>3060</v>
      </c>
      <c r="G42" s="216">
        <f>+MIN(G39+MAX(F39-F40,0)-MAX(E40-E39,0)-MAX(D40-D39,0)-MAX(C40-C39,0),G40)</f>
        <v>1950.15</v>
      </c>
      <c r="H42" s="216">
        <f>+MIN(H39:H40)</f>
        <v>0</v>
      </c>
      <c r="I42" s="73">
        <f>+C42+D42+E42+MIN(F39:F40)+G42+H42</f>
        <v>15974.01</v>
      </c>
      <c r="J42" s="219">
        <f>+K47</f>
        <v>0</v>
      </c>
      <c r="K42" s="219">
        <f>+I42-H42</f>
        <v>15974.01</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DSUM(Doklady!A103:J10001,"GGG",Spolu!L45:M47)</f>
        <v>0</v>
      </c>
      <c r="D45" s="78">
        <f>DSUM(Doklady!A103:J10001,"GGG",Spolu!N45:O47)</f>
        <v>0</v>
      </c>
      <c r="E45" s="78">
        <f>DSUM(Doklady!A103:J10001,"GGG",Spolu!P45:Q47)</f>
        <v>0</v>
      </c>
      <c r="F45" s="78">
        <f>DSUM(Doklady!A103:J10001,"GGG",Spolu!R45:S47)</f>
        <v>0</v>
      </c>
      <c r="G45" s="78">
        <f>DSUM(Doklady!A103:J10001,"GGG",Spolu!T45:U47)-H45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1"/>
      <c r="B50" s="332"/>
      <c r="C50" s="332"/>
      <c r="D50" s="332"/>
      <c r="E50" s="332"/>
      <c r="F50" s="332"/>
      <c r="G50" s="332"/>
      <c r="H50" s="332"/>
      <c r="I50" s="332"/>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15990.009999999998</v>
      </c>
      <c r="E53" s="73">
        <f>IF(A53&lt;&gt;"",MIN(D53,C53)*Doklady!C1/(1-Doklady!C1),"")</f>
        <v>0</v>
      </c>
      <c r="F53" s="71">
        <f>IF(A53&lt;&gt;"",Doklady!J1,"")</f>
        <v>0</v>
      </c>
      <c r="G53" s="73">
        <f>+IFERROR(HLOOKUP(IF(RIGHT(B53,15)="bežné transfery",LEFT(B53,LEN(B53)-18),0),$J$40:$K$42,3,0),MIN(C53,D53))</f>
        <v>15974.01</v>
      </c>
      <c r="H53" s="71"/>
      <c r="I53" s="73">
        <f>IF(A53&lt;&gt;"",MAX(IF(G53&lt;C53,C53-G53,0)+IF(F53&lt;E53,E53-F53,0),0),0)</f>
        <v>59710.99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1461.1200000000001</v>
      </c>
      <c r="E54" s="73">
        <f>IF(A54&lt;&gt;"",MIN(D54,C54)*Doklady!C2/(1-Doklady!C2),"")</f>
        <v>0</v>
      </c>
      <c r="F54" s="71">
        <f>IF(A54&lt;&gt;"",Doklady!J2,"")</f>
        <v>0</v>
      </c>
      <c r="G54" s="73">
        <f t="shared" ref="G54:G117" si="0">+IFERROR(HLOOKUP(IF(RIGHT(B54,15)="bežné transfery",LEFT(B54,LEN(B54)-18),0),$J$40:$K$42,3,0),MIN(C54,D54))</f>
        <v>1461.1200000000001</v>
      </c>
      <c r="H54" s="71"/>
      <c r="I54" s="73">
        <f t="shared" ref="I54:I117" si="1">IF(A54&lt;&gt;"",MAX(IF(G54&lt;C54,C54-G54,0)+IF(F54&lt;E54,E54-F54,0),0),0)</f>
        <v>7883.88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910</v>
      </c>
      <c r="E55" s="73">
        <f>IF(A55&lt;&gt;"",MIN(D55,C55)*Doklady!C3/(1-Doklady!C3),"")</f>
        <v>0</v>
      </c>
      <c r="F55" s="71">
        <f>IF(A55&lt;&gt;"",Doklady!J3,"")</f>
        <v>0</v>
      </c>
      <c r="G55" s="73">
        <f t="shared" si="0"/>
        <v>910</v>
      </c>
      <c r="H55" s="71"/>
      <c r="I55" s="73">
        <f t="shared" si="1"/>
        <v>34090</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18361.129999999997</v>
      </c>
      <c r="E130" s="228">
        <f t="shared" si="9"/>
        <v>0</v>
      </c>
      <c r="F130" s="228">
        <f t="shared" si="9"/>
        <v>0</v>
      </c>
      <c r="G130" s="228">
        <f t="shared" si="9"/>
        <v>18345.13</v>
      </c>
      <c r="H130" s="228">
        <f t="shared" si="9"/>
        <v>0</v>
      </c>
      <c r="I130" s="228">
        <f t="shared" si="9"/>
        <v>101684.87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48"/>
      <c r="E140" s="348"/>
      <c r="F140" s="348"/>
      <c r="G140" s="348"/>
      <c r="H140" s="348"/>
      <c r="I140" s="348"/>
      <c r="J140" s="85"/>
    </row>
    <row r="141" spans="1:26" ht="68.25" customHeight="1" x14ac:dyDescent="0.15">
      <c r="A141" s="9"/>
      <c r="B141" s="283" t="s">
        <v>434</v>
      </c>
      <c r="C141" s="214"/>
      <c r="D141" s="328" t="s">
        <v>435</v>
      </c>
      <c r="E141" s="328"/>
      <c r="F141" s="328"/>
      <c r="G141" s="328"/>
      <c r="H141" s="328"/>
      <c r="I141" s="328"/>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2" priority="43" stopIfTrue="1" operator="lessThanOrEqual">
      <formula>0</formula>
    </cfRule>
    <cfRule type="cellIs" dxfId="101" priority="44" stopIfTrue="1" operator="greaterThan">
      <formula>0</formula>
    </cfRule>
  </conditionalFormatting>
  <conditionalFormatting sqref="D53:D129">
    <cfRule type="expression" dxfId="100" priority="31" stopIfTrue="1">
      <formula>$C53=$D53</formula>
    </cfRule>
    <cfRule type="expression" dxfId="99" priority="33" stopIfTrue="1">
      <formula>$C53&lt;&gt;$D53</formula>
    </cfRule>
  </conditionalFormatting>
  <conditionalFormatting sqref="E9:F9">
    <cfRule type="expression" dxfId="98" priority="38" stopIfTrue="1">
      <formula>SUM($E$10:$F$14)&gt;0</formula>
    </cfRule>
  </conditionalFormatting>
  <conditionalFormatting sqref="G53:G129">
    <cfRule type="expression" dxfId="97" priority="13" stopIfTrue="1">
      <formula>$C53=$G53</formula>
    </cfRule>
    <cfRule type="expression" dxfId="96" priority="14" stopIfTrue="1">
      <formula>$C53&lt;&gt;$G53</formula>
    </cfRule>
  </conditionalFormatting>
  <conditionalFormatting sqref="I42">
    <cfRule type="cellIs" dxfId="95" priority="1" stopIfTrue="1" operator="greaterThan">
      <formula>0</formula>
    </cfRule>
  </conditionalFormatting>
  <conditionalFormatting sqref="I47">
    <cfRule type="cellIs" dxfId="94" priority="15" stopIfTrue="1" operator="greaterThan">
      <formula>0</formula>
    </cfRule>
  </conditionalFormatting>
  <conditionalFormatting sqref="I53:I129">
    <cfRule type="cellIs" dxfId="93" priority="40" stopIfTrue="1" operator="equal">
      <formula>0</formula>
    </cfRule>
    <cfRule type="cellIs" dxfId="9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1"/>
  <sheetViews>
    <sheetView tabSelected="1" topLeftCell="A154" zoomScaleNormal="100" workbookViewId="0">
      <selection activeCell="C177" sqref="C177"/>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6" si="0">IF(ROW()&lt;=B$3,SUMIF(A$107:A$10043,A1,I$107:I$10043),"")</f>
        <v>15990.009999999998</v>
      </c>
      <c r="J1" s="236">
        <f t="shared" ref="J1:J32" si="1">IF(ROW()&lt;=B$3,SUMIFS(I$103:I$50043,A$103:A$50043,K1,J$103:J$50043,L1),"")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1461.1200000000001</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910</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IF(ROW()&lt;=B$3,SUMIF(A$107:A$10043,A7,I$107:I$10043),"")</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IF(ROW()&lt;=B$3,SUMIFS(I$103:I$50043,A$103:A$50043,K33,J$103:J$50043,L33),"")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IF(ROW()&lt;=B$3,SUMIFS(I$103:I$50043,A$103:A$50043,K65,J$103:J$50043,L65),"")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IF(ROW()&lt;=B$3,SUMIF(A$107:A$10043,A71,I$107:I$10043),"")</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59" t="s">
        <v>365</v>
      </c>
      <c r="B100" s="359"/>
      <c r="C100" s="359"/>
      <c r="D100" s="359"/>
      <c r="E100" s="359"/>
      <c r="F100" s="359"/>
      <c r="G100" s="359"/>
      <c r="H100" s="359"/>
      <c r="I100" s="361" t="s">
        <v>440</v>
      </c>
      <c r="J100" s="361"/>
      <c r="K100" s="89"/>
    </row>
    <row r="101" spans="1:25" ht="16" x14ac:dyDescent="0.2">
      <c r="A101" s="359"/>
      <c r="B101" s="359"/>
      <c r="C101" s="359"/>
      <c r="D101" s="359"/>
      <c r="E101" s="359"/>
      <c r="F101" s="359"/>
      <c r="G101" s="359"/>
      <c r="H101" s="359"/>
      <c r="I101" s="360">
        <v>45740</v>
      </c>
      <c r="J101" s="360"/>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1927</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1926</v>
      </c>
      <c r="C112" s="14"/>
      <c r="D112" s="16">
        <v>45684</v>
      </c>
      <c r="E112" s="16"/>
      <c r="F112" s="14" t="s">
        <v>1773</v>
      </c>
      <c r="G112" s="14"/>
      <c r="H112" s="14" t="s">
        <v>1774</v>
      </c>
      <c r="I112" s="15">
        <v>270.39999999999998</v>
      </c>
      <c r="J112" s="77">
        <v>1</v>
      </c>
      <c r="K112" s="92"/>
    </row>
    <row r="113" spans="1:11" ht="24" x14ac:dyDescent="0.15">
      <c r="A113" s="14" t="s">
        <v>1753</v>
      </c>
      <c r="B113" s="14" t="s">
        <v>1930</v>
      </c>
      <c r="C113" s="14" t="s">
        <v>1931</v>
      </c>
      <c r="D113" s="16">
        <v>45686</v>
      </c>
      <c r="E113" s="16"/>
      <c r="F113" s="14" t="s">
        <v>1775</v>
      </c>
      <c r="G113" s="14"/>
      <c r="H113" s="14" t="s">
        <v>1776</v>
      </c>
      <c r="I113" s="15">
        <v>1320</v>
      </c>
      <c r="J113" s="77">
        <v>5</v>
      </c>
      <c r="K113" s="92"/>
    </row>
    <row r="114" spans="1:11" ht="13" x14ac:dyDescent="0.15">
      <c r="A114" s="14" t="s">
        <v>1753</v>
      </c>
      <c r="B114" s="14" t="s">
        <v>1925</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1924</v>
      </c>
      <c r="C116" s="14" t="s">
        <v>1785</v>
      </c>
      <c r="D116" s="16">
        <v>45692</v>
      </c>
      <c r="E116" s="16"/>
      <c r="F116" s="14" t="s">
        <v>1932</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1923</v>
      </c>
      <c r="C118" s="14" t="s">
        <v>1793</v>
      </c>
      <c r="D118" s="16">
        <v>45698</v>
      </c>
      <c r="E118" s="16"/>
      <c r="F118" s="14" t="s">
        <v>1794</v>
      </c>
      <c r="G118" s="14" t="s">
        <v>1791</v>
      </c>
      <c r="H118" s="14" t="s">
        <v>1792</v>
      </c>
      <c r="I118" s="15">
        <v>50</v>
      </c>
      <c r="J118" s="77">
        <v>1</v>
      </c>
      <c r="K118" s="92"/>
    </row>
    <row r="119" spans="1:11" ht="24" x14ac:dyDescent="0.15">
      <c r="A119" s="14" t="s">
        <v>1753</v>
      </c>
      <c r="B119" s="14" t="s">
        <v>1923</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92"/>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1922</v>
      </c>
      <c r="C124" s="14" t="s">
        <v>1806</v>
      </c>
      <c r="D124" s="16">
        <v>45708</v>
      </c>
      <c r="E124" s="16"/>
      <c r="F124" s="14" t="s">
        <v>1807</v>
      </c>
      <c r="G124" s="14" t="s">
        <v>1808</v>
      </c>
      <c r="H124" s="14" t="s">
        <v>1809</v>
      </c>
      <c r="I124" s="15">
        <v>730</v>
      </c>
      <c r="J124" s="77">
        <v>4</v>
      </c>
      <c r="K124" s="92"/>
    </row>
    <row r="125" spans="1:11" ht="13" x14ac:dyDescent="0.15">
      <c r="A125" s="14" t="s">
        <v>1753</v>
      </c>
      <c r="B125" s="14" t="s">
        <v>1921</v>
      </c>
      <c r="C125" s="14" t="s">
        <v>1811</v>
      </c>
      <c r="D125" s="16">
        <v>45709</v>
      </c>
      <c r="E125" s="16"/>
      <c r="F125" s="14" t="s">
        <v>1812</v>
      </c>
      <c r="G125" s="14" t="s">
        <v>1813</v>
      </c>
      <c r="H125" s="14" t="s">
        <v>1814</v>
      </c>
      <c r="I125" s="15">
        <v>120</v>
      </c>
      <c r="J125" s="77">
        <v>3</v>
      </c>
      <c r="K125" s="92"/>
    </row>
    <row r="126" spans="1:11" ht="13" x14ac:dyDescent="0.15">
      <c r="A126" s="14" t="s">
        <v>1753</v>
      </c>
      <c r="B126" s="14" t="s">
        <v>1921</v>
      </c>
      <c r="C126" s="14" t="s">
        <v>1811</v>
      </c>
      <c r="D126" s="16">
        <v>45709</v>
      </c>
      <c r="E126" s="16"/>
      <c r="F126" s="14" t="s">
        <v>1812</v>
      </c>
      <c r="G126" s="14" t="s">
        <v>1813</v>
      </c>
      <c r="H126" s="14" t="s">
        <v>1814</v>
      </c>
      <c r="I126" s="15">
        <v>50</v>
      </c>
      <c r="J126" s="77">
        <v>1</v>
      </c>
      <c r="K126" s="92"/>
    </row>
    <row r="127" spans="1:11" ht="13" x14ac:dyDescent="0.15">
      <c r="A127" s="14" t="s">
        <v>1753</v>
      </c>
      <c r="B127" s="14" t="s">
        <v>1921</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1920</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1919</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1918</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1917</v>
      </c>
      <c r="C142" s="14" t="s">
        <v>1917</v>
      </c>
      <c r="D142" s="16">
        <v>45726</v>
      </c>
      <c r="E142" s="16"/>
      <c r="F142" s="14" t="s">
        <v>1860</v>
      </c>
      <c r="G142" s="14" t="s">
        <v>1817</v>
      </c>
      <c r="H142" s="14" t="s">
        <v>1818</v>
      </c>
      <c r="I142" s="15">
        <v>19.2</v>
      </c>
      <c r="J142" s="77">
        <v>5</v>
      </c>
      <c r="K142" s="92"/>
    </row>
    <row r="143" spans="1:11" ht="72" x14ac:dyDescent="0.15">
      <c r="A143" s="14" t="s">
        <v>1753</v>
      </c>
      <c r="B143" s="14" t="s">
        <v>1916</v>
      </c>
      <c r="C143" s="14" t="s">
        <v>1861</v>
      </c>
      <c r="D143" s="16">
        <v>45730</v>
      </c>
      <c r="E143" s="16"/>
      <c r="F143" s="14" t="s">
        <v>1862</v>
      </c>
      <c r="G143" s="14" t="s">
        <v>1824</v>
      </c>
      <c r="H143" s="14" t="s">
        <v>1825</v>
      </c>
      <c r="I143" s="15">
        <v>660</v>
      </c>
      <c r="J143" s="77">
        <v>3</v>
      </c>
      <c r="K143" s="92"/>
    </row>
    <row r="144" spans="1:11" ht="72" x14ac:dyDescent="0.15">
      <c r="A144" s="14" t="s">
        <v>1753</v>
      </c>
      <c r="B144" s="14" t="s">
        <v>1916</v>
      </c>
      <c r="C144" s="14" t="s">
        <v>1861</v>
      </c>
      <c r="D144" s="16">
        <v>45730</v>
      </c>
      <c r="E144" s="16"/>
      <c r="F144" s="14" t="s">
        <v>1862</v>
      </c>
      <c r="G144" s="14" t="s">
        <v>1824</v>
      </c>
      <c r="H144" s="14" t="s">
        <v>1825</v>
      </c>
      <c r="I144" s="15">
        <v>390.54</v>
      </c>
      <c r="J144" s="77">
        <v>1</v>
      </c>
      <c r="K144" s="92"/>
    </row>
    <row r="145" spans="1:11" ht="13" x14ac:dyDescent="0.15">
      <c r="A145" s="14" t="s">
        <v>1753</v>
      </c>
      <c r="B145" s="14" t="s">
        <v>1915</v>
      </c>
      <c r="C145" s="14" t="s">
        <v>1864</v>
      </c>
      <c r="D145" s="16">
        <v>45730</v>
      </c>
      <c r="E145" s="16"/>
      <c r="F145" s="14" t="s">
        <v>1865</v>
      </c>
      <c r="G145" s="14" t="s">
        <v>1866</v>
      </c>
      <c r="H145" s="14" t="s">
        <v>1867</v>
      </c>
      <c r="I145" s="15">
        <v>360</v>
      </c>
      <c r="J145" s="77">
        <v>2</v>
      </c>
      <c r="K145" s="92"/>
    </row>
    <row r="146" spans="1:11" ht="24" x14ac:dyDescent="0.15">
      <c r="A146" s="14" t="s">
        <v>1898</v>
      </c>
      <c r="B146" s="14" t="s">
        <v>1914</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1933</v>
      </c>
      <c r="C149" s="14" t="s">
        <v>1934</v>
      </c>
      <c r="D149" s="16">
        <v>45716</v>
      </c>
      <c r="E149" s="16"/>
      <c r="F149" s="14" t="s">
        <v>1935</v>
      </c>
      <c r="G149" s="14"/>
      <c r="H149" s="14" t="s">
        <v>1936</v>
      </c>
      <c r="I149" s="15">
        <v>150</v>
      </c>
      <c r="J149" s="77">
        <v>1</v>
      </c>
      <c r="K149" s="92"/>
    </row>
    <row r="150" spans="1:11" ht="24" x14ac:dyDescent="0.15">
      <c r="A150" s="14" t="s">
        <v>1753</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1912</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1911</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1942</v>
      </c>
      <c r="C161" s="14" t="s">
        <v>1943</v>
      </c>
      <c r="D161" s="16">
        <v>45729</v>
      </c>
      <c r="E161" s="16">
        <v>45741</v>
      </c>
      <c r="F161" s="14" t="s">
        <v>1906</v>
      </c>
      <c r="G161" s="14"/>
      <c r="H161" s="14" t="s">
        <v>1936</v>
      </c>
      <c r="I161" s="15">
        <v>500</v>
      </c>
      <c r="J161" s="77"/>
      <c r="K161" s="92"/>
    </row>
    <row r="162" spans="1:11" ht="13" x14ac:dyDescent="0.15">
      <c r="A162" s="14" t="s">
        <v>1944</v>
      </c>
      <c r="B162" s="14" t="s">
        <v>1942</v>
      </c>
      <c r="C162" s="14" t="s">
        <v>1943</v>
      </c>
      <c r="D162" s="16">
        <v>45729</v>
      </c>
      <c r="E162" s="16">
        <v>45741</v>
      </c>
      <c r="F162" s="14" t="s">
        <v>1906</v>
      </c>
      <c r="G162" s="14"/>
      <c r="H162" s="14" t="s">
        <v>1936</v>
      </c>
      <c r="I162" s="15">
        <v>100</v>
      </c>
      <c r="J162" s="77"/>
      <c r="K162" s="92"/>
    </row>
    <row r="163" spans="1:11" ht="24" x14ac:dyDescent="0.15">
      <c r="A163" s="14" t="s">
        <v>1944</v>
      </c>
      <c r="B163" s="14" t="s">
        <v>1849</v>
      </c>
      <c r="C163" s="14" t="s">
        <v>1908</v>
      </c>
      <c r="D163" s="16">
        <v>45730</v>
      </c>
      <c r="E163" s="16">
        <v>45741</v>
      </c>
      <c r="F163" s="14" t="s">
        <v>1907</v>
      </c>
      <c r="G163" s="14" t="s">
        <v>1910</v>
      </c>
      <c r="H163" s="14" t="s">
        <v>1909</v>
      </c>
      <c r="I163" s="15">
        <v>690</v>
      </c>
      <c r="J163" s="77"/>
      <c r="K163" s="92"/>
    </row>
    <row r="164" spans="1:11" ht="24" x14ac:dyDescent="0.15">
      <c r="A164" s="14" t="s">
        <v>1944</v>
      </c>
      <c r="B164" s="14" t="s">
        <v>1849</v>
      </c>
      <c r="C164" s="14" t="s">
        <v>1908</v>
      </c>
      <c r="D164" s="16">
        <v>45730</v>
      </c>
      <c r="E164" s="16">
        <v>45744</v>
      </c>
      <c r="F164" s="14" t="s">
        <v>1913</v>
      </c>
      <c r="G164" s="14" t="s">
        <v>1910</v>
      </c>
      <c r="H164" s="14" t="s">
        <v>1909</v>
      </c>
      <c r="I164" s="15">
        <v>120</v>
      </c>
      <c r="J164" s="77"/>
      <c r="K164" s="92"/>
    </row>
    <row r="165" spans="1:11" ht="13" x14ac:dyDescent="0.15">
      <c r="A165" s="14" t="s">
        <v>1753</v>
      </c>
      <c r="B165" s="14" t="s">
        <v>1945</v>
      </c>
      <c r="C165" s="14" t="s">
        <v>1945</v>
      </c>
      <c r="D165" s="16">
        <v>45744</v>
      </c>
      <c r="E165" s="16"/>
      <c r="F165" s="14" t="s">
        <v>1946</v>
      </c>
      <c r="G165" s="14"/>
      <c r="H165" s="14" t="s">
        <v>1947</v>
      </c>
      <c r="I165" s="15">
        <f>12.41</f>
        <v>12.41</v>
      </c>
      <c r="J165" s="77">
        <v>5</v>
      </c>
      <c r="K165" s="92"/>
    </row>
    <row r="166" spans="1:11" ht="13" x14ac:dyDescent="0.15">
      <c r="A166" s="14" t="s">
        <v>1753</v>
      </c>
      <c r="B166" s="14" t="s">
        <v>1941</v>
      </c>
      <c r="C166" s="14" t="s">
        <v>1940</v>
      </c>
      <c r="D166" s="16">
        <v>45746</v>
      </c>
      <c r="E166" s="16"/>
      <c r="F166" s="14" t="s">
        <v>1928</v>
      </c>
      <c r="G166" s="14"/>
      <c r="H166" s="14" t="s">
        <v>1929</v>
      </c>
      <c r="I166" s="15">
        <v>780</v>
      </c>
      <c r="J166" s="77">
        <v>3</v>
      </c>
      <c r="K166" s="92"/>
    </row>
    <row r="167" spans="1:11" ht="13" x14ac:dyDescent="0.15">
      <c r="A167" s="14" t="s">
        <v>1753</v>
      </c>
      <c r="B167" s="14"/>
      <c r="C167" s="14"/>
      <c r="D167" s="16">
        <v>45746</v>
      </c>
      <c r="E167" s="16"/>
      <c r="F167" s="14" t="s">
        <v>1939</v>
      </c>
      <c r="G167" s="14" t="s">
        <v>1937</v>
      </c>
      <c r="H167" s="14" t="s">
        <v>1938</v>
      </c>
      <c r="I167" s="15">
        <v>8</v>
      </c>
      <c r="J167" s="77">
        <v>5</v>
      </c>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sheetData>
  <autoFilter ref="A106:J162" xr:uid="{E96EF3C8-47E9-4D00-BAE9-FD921A4859DD}"/>
  <dataConsolidate/>
  <mergeCells count="5">
    <mergeCell ref="A100:H100"/>
    <mergeCell ref="I101:J101"/>
    <mergeCell ref="I100:J100"/>
    <mergeCell ref="A101:H101"/>
    <mergeCell ref="A105:J105"/>
  </mergeCells>
  <phoneticPr fontId="1" type="noConversion"/>
  <conditionalFormatting sqref="A1056:H1067">
    <cfRule type="expression" dxfId="91" priority="42" stopIfTrue="1">
      <formula>$A1056&lt;&gt;""</formula>
    </cfRule>
  </conditionalFormatting>
  <conditionalFormatting sqref="A1113:H1114">
    <cfRule type="expression" dxfId="90" priority="53" stopIfTrue="1">
      <formula>$A1113&lt;&gt;""</formula>
    </cfRule>
  </conditionalFormatting>
  <conditionalFormatting sqref="A107:J164 A166:J5001 A165">
    <cfRule type="expression" dxfId="89" priority="4" stopIfTrue="1">
      <formula>$A107&lt;&gt;""</formula>
    </cfRule>
  </conditionalFormatting>
  <conditionalFormatting sqref="B473:E478">
    <cfRule type="expression" dxfId="88" priority="144" stopIfTrue="1">
      <formula>$A473&lt;&gt;""</formula>
    </cfRule>
  </conditionalFormatting>
  <conditionalFormatting sqref="B485:E489">
    <cfRule type="expression" dxfId="87" priority="179" stopIfTrue="1">
      <formula>$A485&lt;&gt;""</formula>
    </cfRule>
  </conditionalFormatting>
  <conditionalFormatting sqref="B690:E690">
    <cfRule type="expression" dxfId="86" priority="71" stopIfTrue="1">
      <formula>$A690&lt;&gt;""</formula>
    </cfRule>
  </conditionalFormatting>
  <conditionalFormatting sqref="B692:E692 H692:I692 B693:I694 B695:E700 H695:I700">
    <cfRule type="expression" dxfId="85" priority="31" stopIfTrue="1">
      <formula>$A692&lt;&gt;""</formula>
    </cfRule>
  </conditionalFormatting>
  <conditionalFormatting sqref="B702:E702 H702:I702">
    <cfRule type="expression" dxfId="84" priority="22" stopIfTrue="1">
      <formula>$A702&lt;&gt;""</formula>
    </cfRule>
  </conditionalFormatting>
  <conditionalFormatting sqref="B820:E820">
    <cfRule type="expression" dxfId="83" priority="94" stopIfTrue="1">
      <formula>$A820&lt;&gt;""</formula>
    </cfRule>
  </conditionalFormatting>
  <conditionalFormatting sqref="B1111:E1111">
    <cfRule type="expression" dxfId="82" priority="140" stopIfTrue="1">
      <formula>$A1111&lt;&gt;""</formula>
    </cfRule>
  </conditionalFormatting>
  <conditionalFormatting sqref="B1115:E1115">
    <cfRule type="expression" dxfId="81" priority="196" stopIfTrue="1">
      <formula>$A1115&lt;&gt;""</formula>
    </cfRule>
  </conditionalFormatting>
  <conditionalFormatting sqref="B1132:E1137">
    <cfRule type="expression" dxfId="80" priority="186" stopIfTrue="1">
      <formula>$A1132&lt;&gt;""</formula>
    </cfRule>
  </conditionalFormatting>
  <conditionalFormatting sqref="B1139:E1149">
    <cfRule type="expression" dxfId="79" priority="54" stopIfTrue="1">
      <formula>$A1139&lt;&gt;""</formula>
    </cfRule>
  </conditionalFormatting>
  <conditionalFormatting sqref="B1153:E1153">
    <cfRule type="expression" dxfId="78" priority="80" stopIfTrue="1">
      <formula>$A1153&lt;&gt;""</formula>
    </cfRule>
  </conditionalFormatting>
  <conditionalFormatting sqref="B1254:E1261 I1254:J1271">
    <cfRule type="expression" dxfId="77" priority="130" stopIfTrue="1">
      <formula>$A1254&lt;&gt;""</formula>
    </cfRule>
  </conditionalFormatting>
  <conditionalFormatting sqref="B1294:E1302">
    <cfRule type="expression" dxfId="76" priority="165" stopIfTrue="1">
      <formula>$A1294&lt;&gt;""</formula>
    </cfRule>
  </conditionalFormatting>
  <conditionalFormatting sqref="B1304:E1327">
    <cfRule type="expression" dxfId="75" priority="44" stopIfTrue="1">
      <formula>$A1304&lt;&gt;""</formula>
    </cfRule>
  </conditionalFormatting>
  <conditionalFormatting sqref="B1361:E1364">
    <cfRule type="expression" dxfId="74" priority="61" stopIfTrue="1">
      <formula>$A1361&lt;&gt;""</formula>
    </cfRule>
  </conditionalFormatting>
  <conditionalFormatting sqref="B1366:E1368">
    <cfRule type="expression" dxfId="73" priority="266" stopIfTrue="1">
      <formula>$A1366&lt;&gt;""</formula>
    </cfRule>
  </conditionalFormatting>
  <conditionalFormatting sqref="B1370:E1380">
    <cfRule type="expression" dxfId="72" priority="85" stopIfTrue="1">
      <formula>$A1370&lt;&gt;""</formula>
    </cfRule>
  </conditionalFormatting>
  <conditionalFormatting sqref="B1394:E1405">
    <cfRule type="expression" dxfId="71" priority="123" stopIfTrue="1">
      <formula>$A1394&lt;&gt;""</formula>
    </cfRule>
  </conditionalFormatting>
  <conditionalFormatting sqref="B1413:E1451">
    <cfRule type="expression" dxfId="70" priority="160" stopIfTrue="1">
      <formula>$A1413&lt;&gt;""</formula>
    </cfRule>
  </conditionalFormatting>
  <conditionalFormatting sqref="B1454:E1459">
    <cfRule type="expression" dxfId="69" priority="230" stopIfTrue="1">
      <formula>$A1454&lt;&gt;""</formula>
    </cfRule>
  </conditionalFormatting>
  <conditionalFormatting sqref="B490:G490">
    <cfRule type="expression" dxfId="68" priority="180" stopIfTrue="1">
      <formula>$A490&lt;&gt;""</formula>
    </cfRule>
  </conditionalFormatting>
  <conditionalFormatting sqref="B479:H484">
    <cfRule type="expression" dxfId="67" priority="200" stopIfTrue="1">
      <formula>$A479&lt;&gt;""</formula>
    </cfRule>
  </conditionalFormatting>
  <conditionalFormatting sqref="B491:H497">
    <cfRule type="expression" dxfId="66" priority="156" stopIfTrue="1">
      <formula>$A491&lt;&gt;""</formula>
    </cfRule>
  </conditionalFormatting>
  <conditionalFormatting sqref="B1068:H1083">
    <cfRule type="expression" dxfId="65" priority="226" stopIfTrue="1">
      <formula>$A1068&lt;&gt;""</formula>
    </cfRule>
  </conditionalFormatting>
  <conditionalFormatting sqref="B1273:H1275 B1276:E1289 H1276:H1289">
    <cfRule type="expression" dxfId="64" priority="155" stopIfTrue="1">
      <formula>$A1273&lt;&gt;""</formula>
    </cfRule>
  </conditionalFormatting>
  <conditionalFormatting sqref="B1291:H1293">
    <cfRule type="expression" dxfId="63" priority="50" stopIfTrue="1">
      <formula>$A1291&lt;&gt;""</formula>
    </cfRule>
  </conditionalFormatting>
  <conditionalFormatting sqref="B1365:H1365">
    <cfRule type="expression" dxfId="62" priority="296" stopIfTrue="1">
      <formula>$A1365&lt;&gt;""</formula>
    </cfRule>
  </conditionalFormatting>
  <conditionalFormatting sqref="B1381:H1386">
    <cfRule type="expression" dxfId="61" priority="24" stopIfTrue="1">
      <formula>$A1381&lt;&gt;""</formula>
    </cfRule>
  </conditionalFormatting>
  <conditionalFormatting sqref="B1411:H1412">
    <cfRule type="expression" dxfId="60" priority="203" stopIfTrue="1">
      <formula>$A1411&lt;&gt;""</formula>
    </cfRule>
  </conditionalFormatting>
  <conditionalFormatting sqref="B176:I190 I191:I228 B191:E242">
    <cfRule type="expression" dxfId="59" priority="253" stopIfTrue="1">
      <formula>$A176&lt;&gt;""</formula>
    </cfRule>
  </conditionalFormatting>
  <conditionalFormatting sqref="B243:I243 B244:E276">
    <cfRule type="expression" dxfId="58" priority="267" stopIfTrue="1">
      <formula>$A243&lt;&gt;""</formula>
    </cfRule>
  </conditionalFormatting>
  <conditionalFormatting sqref="B277:I321">
    <cfRule type="expression" dxfId="57" priority="100" stopIfTrue="1">
      <formula>$A277&lt;&gt;""</formula>
    </cfRule>
  </conditionalFormatting>
  <conditionalFormatting sqref="B498:I500">
    <cfRule type="expression" dxfId="56" priority="102" stopIfTrue="1">
      <formula>$A498&lt;&gt;""</formula>
    </cfRule>
  </conditionalFormatting>
  <conditionalFormatting sqref="B646:I689">
    <cfRule type="expression" dxfId="55" priority="263" stopIfTrue="1">
      <formula>$A646&lt;&gt;""</formula>
    </cfRule>
  </conditionalFormatting>
  <conditionalFormatting sqref="B691:I691">
    <cfRule type="expression" dxfId="54" priority="29" stopIfTrue="1">
      <formula>$A691&lt;&gt;""</formula>
    </cfRule>
  </conditionalFormatting>
  <conditionalFormatting sqref="B1138:I1138">
    <cfRule type="expression" dxfId="53" priority="154" stopIfTrue="1">
      <formula>$A1138&lt;&gt;""</formula>
    </cfRule>
  </conditionalFormatting>
  <conditionalFormatting sqref="B1150:I1152">
    <cfRule type="expression" dxfId="52" priority="23" stopIfTrue="1">
      <formula>$A1150&lt;&gt;""</formula>
    </cfRule>
  </conditionalFormatting>
  <conditionalFormatting sqref="B1154:I1158">
    <cfRule type="expression" dxfId="51" priority="25" stopIfTrue="1">
      <formula>$A1154&lt;&gt;""</formula>
    </cfRule>
  </conditionalFormatting>
  <conditionalFormatting sqref="B1272:I1272 I1273:I1289">
    <cfRule type="expression" dxfId="50" priority="158" stopIfTrue="1">
      <formula>$A1272&lt;&gt;""</formula>
    </cfRule>
  </conditionalFormatting>
  <conditionalFormatting sqref="B1369:I1369">
    <cfRule type="expression" dxfId="49" priority="153" stopIfTrue="1">
      <formula>$A1369&lt;&gt;""</formula>
    </cfRule>
  </conditionalFormatting>
  <conditionalFormatting sqref="B135:J164">
    <cfRule type="expression" dxfId="48" priority="5" stopIfTrue="1">
      <formula>$A135&lt;&gt;""</formula>
    </cfRule>
  </conditionalFormatting>
  <conditionalFormatting sqref="B361:J421">
    <cfRule type="expression" dxfId="47" priority="268" stopIfTrue="1">
      <formula>$A361&lt;&gt;""</formula>
    </cfRule>
  </conditionalFormatting>
  <conditionalFormatting sqref="B458:J459">
    <cfRule type="expression" dxfId="46" priority="229" stopIfTrue="1">
      <formula>$A458&lt;&gt;""</formula>
    </cfRule>
  </conditionalFormatting>
  <conditionalFormatting sqref="B600:J626">
    <cfRule type="expression" dxfId="45" priority="9" stopIfTrue="1">
      <formula>$A600&lt;&gt;""</formula>
    </cfRule>
  </conditionalFormatting>
  <conditionalFormatting sqref="B1054:J1055">
    <cfRule type="expression" dxfId="44" priority="224" stopIfTrue="1">
      <formula>$A1054&lt;&gt;""</formula>
    </cfRule>
  </conditionalFormatting>
  <conditionalFormatting sqref="B1128:J1131">
    <cfRule type="expression" dxfId="43" priority="14" stopIfTrue="1">
      <formula>$A1128&lt;&gt;""</formula>
    </cfRule>
  </conditionalFormatting>
  <conditionalFormatting sqref="B1159:J1253">
    <cfRule type="expression" dxfId="42" priority="40" stopIfTrue="1">
      <formula>$A1159&lt;&gt;""</formula>
    </cfRule>
  </conditionalFormatting>
  <conditionalFormatting sqref="B1407:J1407">
    <cfRule type="expression" dxfId="41" priority="205" stopIfTrue="1">
      <formula>$A1407&lt;&gt;""</formula>
    </cfRule>
  </conditionalFormatting>
  <conditionalFormatting sqref="B1462:J4375">
    <cfRule type="expression" dxfId="40" priority="49" stopIfTrue="1">
      <formula>$A1462&lt;&gt;""</formula>
    </cfRule>
  </conditionalFormatting>
  <conditionalFormatting sqref="F192:H196">
    <cfRule type="expression" dxfId="39" priority="131" stopIfTrue="1">
      <formula>$A192&lt;&gt;""</formula>
    </cfRule>
  </conditionalFormatting>
  <conditionalFormatting sqref="F199:H200">
    <cfRule type="expression" dxfId="38" priority="125" stopIfTrue="1">
      <formula>$A199&lt;&gt;""</formula>
    </cfRule>
  </conditionalFormatting>
  <conditionalFormatting sqref="F473:H474">
    <cfRule type="expression" dxfId="37" priority="146" stopIfTrue="1">
      <formula>$A473&lt;&gt;""</formula>
    </cfRule>
  </conditionalFormatting>
  <conditionalFormatting sqref="F477:H478">
    <cfRule type="expression" dxfId="36" priority="236" stopIfTrue="1">
      <formula>$A477&lt;&gt;""</formula>
    </cfRule>
  </conditionalFormatting>
  <conditionalFormatting sqref="F485:H487 H488:H490">
    <cfRule type="expression" dxfId="35" priority="178" stopIfTrue="1">
      <formula>$A485&lt;&gt;""</formula>
    </cfRule>
  </conditionalFormatting>
  <conditionalFormatting sqref="F1132:H1132">
    <cfRule type="expression" dxfId="34" priority="287" stopIfTrue="1">
      <formula>$A1132&lt;&gt;""</formula>
    </cfRule>
  </conditionalFormatting>
  <conditionalFormatting sqref="F1256:H1261">
    <cfRule type="expression" dxfId="33" priority="129" stopIfTrue="1">
      <formula>$A1256&lt;&gt;""</formula>
    </cfRule>
  </conditionalFormatting>
  <conditionalFormatting sqref="F171:I173">
    <cfRule type="expression" dxfId="32" priority="257" stopIfTrue="1">
      <formula>$A171&lt;&gt;""</formula>
    </cfRule>
  </conditionalFormatting>
  <conditionalFormatting sqref="F248:I248">
    <cfRule type="expression" dxfId="31" priority="157" stopIfTrue="1">
      <formula>$A248&lt;&gt;""</formula>
    </cfRule>
  </conditionalFormatting>
  <conditionalFormatting sqref="F168:J170 B168:E175 J171:J228 I229:J229 F230:J242 J243:J321 F250:I276 B471:I472 J471:J500 J646:J704 B701:I701 B703:I704 B812:E812 H812:J812 H820:J820 B827:E827 H827:J827 I1056:J1083 B1112:H1112 I1112:J1127 H1115:H1127 B1116:G1127 I1132:J1137 F1254:H1254 B1262:H1271 J1272:J1289 B1303:H1303 B1328:H1360 I1365:J1368 J1369:J1386 F1414:H1448 F1449:J1451 B1452:H1453">
    <cfRule type="expression" dxfId="30" priority="297" stopIfTrue="1">
      <formula>$A168&lt;&gt;""</formula>
    </cfRule>
  </conditionalFormatting>
  <conditionalFormatting sqref="H191">
    <cfRule type="expression" dxfId="29" priority="137" stopIfTrue="1">
      <formula>$A191&lt;&gt;""</formula>
    </cfRule>
  </conditionalFormatting>
  <conditionalFormatting sqref="H197:H198">
    <cfRule type="expression" dxfId="28" priority="126" stopIfTrue="1">
      <formula>$A197&lt;&gt;""</formula>
    </cfRule>
  </conditionalFormatting>
  <conditionalFormatting sqref="H201:H229">
    <cfRule type="expression" dxfId="27" priority="16" stopIfTrue="1">
      <formula>$A201&lt;&gt;""</formula>
    </cfRule>
  </conditionalFormatting>
  <conditionalFormatting sqref="H475:H476">
    <cfRule type="expression" dxfId="26" priority="150" stopIfTrue="1">
      <formula>$A475&lt;&gt;""</formula>
    </cfRule>
  </conditionalFormatting>
  <conditionalFormatting sqref="H1133:H1137">
    <cfRule type="expression" dxfId="25" priority="188" stopIfTrue="1">
      <formula>$A1133&lt;&gt;""</formula>
    </cfRule>
  </conditionalFormatting>
  <conditionalFormatting sqref="H1255">
    <cfRule type="expression" dxfId="24" priority="199" stopIfTrue="1">
      <formula>$A1255&lt;&gt;""</formula>
    </cfRule>
  </conditionalFormatting>
  <conditionalFormatting sqref="H1294:H1302">
    <cfRule type="expression" dxfId="23" priority="167" stopIfTrue="1">
      <formula>$A1294&lt;&gt;""</formula>
    </cfRule>
  </conditionalFormatting>
  <conditionalFormatting sqref="H1304:H1327">
    <cfRule type="expression" dxfId="22" priority="46" stopIfTrue="1">
      <formula>$A1304&lt;&gt;""</formula>
    </cfRule>
  </conditionalFormatting>
  <conditionalFormatting sqref="H1366:H1368">
    <cfRule type="expression" dxfId="21" priority="265" stopIfTrue="1">
      <formula>$A1366&lt;&gt;""</formula>
    </cfRule>
  </conditionalFormatting>
  <conditionalFormatting sqref="H1370:H1380">
    <cfRule type="expression" dxfId="20" priority="26" stopIfTrue="1">
      <formula>$A1370&lt;&gt;""</formula>
    </cfRule>
  </conditionalFormatting>
  <conditionalFormatting sqref="H1413">
    <cfRule type="expression" dxfId="19" priority="162" stopIfTrue="1">
      <formula>$A1413&lt;&gt;""</formula>
    </cfRule>
  </conditionalFormatting>
  <conditionalFormatting sqref="H1454:H1459">
    <cfRule type="expression" dxfId="18" priority="232" stopIfTrue="1">
      <formula>$A1454&lt;&gt;""</formula>
    </cfRule>
  </conditionalFormatting>
  <conditionalFormatting sqref="H174:I175">
    <cfRule type="expression" dxfId="17" priority="254" stopIfTrue="1">
      <formula>$A174&lt;&gt;""</formula>
    </cfRule>
  </conditionalFormatting>
  <conditionalFormatting sqref="H244:I247">
    <cfRule type="expression" dxfId="16" priority="256" stopIfTrue="1">
      <formula>$A244&lt;&gt;""</formula>
    </cfRule>
  </conditionalFormatting>
  <conditionalFormatting sqref="H249:I249">
    <cfRule type="expression" dxfId="15" priority="132" stopIfTrue="1">
      <formula>$A249&lt;&gt;""</formula>
    </cfRule>
  </conditionalFormatting>
  <conditionalFormatting sqref="H690:I690">
    <cfRule type="expression" dxfId="14" priority="73" stopIfTrue="1">
      <formula>$A690&lt;&gt;""</formula>
    </cfRule>
  </conditionalFormatting>
  <conditionalFormatting sqref="H1139:I1149">
    <cfRule type="expression" dxfId="13" priority="57" stopIfTrue="1">
      <formula>$A1139&lt;&gt;""</formula>
    </cfRule>
  </conditionalFormatting>
  <conditionalFormatting sqref="H1153:I1153">
    <cfRule type="expression" dxfId="12" priority="83" stopIfTrue="1">
      <formula>$A1153&lt;&gt;""</formula>
    </cfRule>
  </conditionalFormatting>
  <conditionalFormatting sqref="H1111:J1111">
    <cfRule type="expression" dxfId="11" priority="139" stopIfTrue="1">
      <formula>$A1111&lt;&gt;""</formula>
    </cfRule>
  </conditionalFormatting>
  <conditionalFormatting sqref="H1361:J1364">
    <cfRule type="expression" dxfId="10" priority="62" stopIfTrue="1">
      <formula>$A1361&lt;&gt;""</formula>
    </cfRule>
  </conditionalFormatting>
  <conditionalFormatting sqref="H1394:J1405">
    <cfRule type="expression" dxfId="9" priority="21" stopIfTrue="1">
      <formula>$A1394&lt;&gt;""</formula>
    </cfRule>
  </conditionalFormatting>
  <conditionalFormatting sqref="I473:I497">
    <cfRule type="expression" dxfId="8" priority="147" stopIfTrue="1">
      <formula>$A473&lt;&gt;""</formula>
    </cfRule>
  </conditionalFormatting>
  <conditionalFormatting sqref="I1370:I1386">
    <cfRule type="expression" dxfId="7" priority="89" stopIfTrue="1">
      <formula>$A1370&lt;&gt;""</formula>
    </cfRule>
  </conditionalFormatting>
  <conditionalFormatting sqref="I1291:J1360">
    <cfRule type="expression" dxfId="6" priority="169" stopIfTrue="1">
      <formula>$A1291&lt;&gt;""</formula>
    </cfRule>
  </conditionalFormatting>
  <conditionalFormatting sqref="I1411:J1448">
    <cfRule type="expression" dxfId="5" priority="164" stopIfTrue="1">
      <formula>$A1411&lt;&gt;""</formula>
    </cfRule>
  </conditionalFormatting>
  <conditionalFormatting sqref="I1452:J1459">
    <cfRule type="expression" dxfId="4" priority="262" stopIfTrue="1">
      <formula>$A1452&lt;&gt;""</formula>
    </cfRule>
  </conditionalFormatting>
  <conditionalFormatting sqref="J1138:J1158">
    <cfRule type="expression" dxfId="3" priority="289" stopIfTrue="1">
      <formula>$A1138&lt;&gt;""</formula>
    </cfRule>
  </conditionalFormatting>
  <conditionalFormatting sqref="F165">
    <cfRule type="expression" dxfId="2" priority="3" stopIfTrue="1">
      <formula>$A165&lt;&gt;""</formula>
    </cfRule>
  </conditionalFormatting>
  <conditionalFormatting sqref="B165:E165">
    <cfRule type="expression" dxfId="1" priority="2" stopIfTrue="1">
      <formula>$A165&lt;&gt;""</formula>
    </cfRule>
  </conditionalFormatting>
  <conditionalFormatting sqref="F165:J165">
    <cfRule type="expression" dxfId="0" priority="1" stopIfTrue="1">
      <formula>$A165&lt;&gt;""</formula>
    </cfRule>
  </conditionalFormatting>
  <dataValidations count="5">
    <dataValidation type="date" allowBlank="1" showInputMessage="1" showErrorMessage="1" sqref="D102:E102 D5002:E65537 D106:E106" xr:uid="{F5059AEA-A0D8-4B20-9D3C-8B76D9C427E6}">
      <formula1>42370</formula1>
      <formula2>42735</formula2>
    </dataValidation>
    <dataValidation type="list" allowBlank="1" sqref="F107:F5001" xr:uid="{255B499D-B3E6-47A9-A857-DBFE56F071D9}">
      <formula1>$F$96:$F$99</formula1>
    </dataValidation>
    <dataValidation type="list" allowBlank="1" showInputMessage="1" showErrorMessage="1" sqref="A107:A5001" xr:uid="{540C0DA9-E9CD-4805-B659-E67C1C32B21C}">
      <formula1>OFFSET($A$1,0,0,$B$3,1)</formula1>
    </dataValidation>
    <dataValidation allowBlank="1" sqref="G107:G5001" xr:uid="{B36265DD-F5DD-4F0A-AD93-4A0388363C0B}"/>
    <dataValidation type="list" allowBlank="1" showInputMessage="1" showErrorMessage="1" errorTitle="Chyba !" error="zadajte (vyberte zo zoznamu) platný analytický kód podľa nápovedy k bunke I104" sqref="J107:J10001"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7" t="s">
        <v>1671</v>
      </c>
      <c r="F3" s="368"/>
      <c r="N3" s="137" t="str">
        <f t="shared" si="0"/>
        <v>c - príspevok Slovenskému paralympijskému výboru</v>
      </c>
      <c r="O3" s="137" t="s">
        <v>379</v>
      </c>
      <c r="P3" s="137" t="s">
        <v>380</v>
      </c>
    </row>
    <row r="4" spans="1:16" ht="45.75" customHeight="1" x14ac:dyDescent="0.15">
      <c r="E4" s="368"/>
      <c r="F4" s="368"/>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 customHeight="1" thickBot="1" x14ac:dyDescent="0.2">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5" t="s">
        <v>1699</v>
      </c>
      <c r="C22" s="365"/>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6" t="str">
        <f>Spolu!C3&amp;", "&amp;Spolu!C6</f>
        <v>Slovenská asociácia taekwondo WT, Hlavná 37/68, Košice, 040 01</v>
      </c>
      <c r="B1" s="366"/>
      <c r="C1" s="366"/>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15">
      <c r="E4" s="368"/>
      <c r="F4" s="368"/>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1" t="s">
        <v>1707</v>
      </c>
      <c r="C14" s="372"/>
      <c r="F14" s="311"/>
      <c r="N14" s="137" t="str">
        <f t="shared" si="0"/>
        <v xml:space="preserve">n - </v>
      </c>
      <c r="O14" s="137" t="s">
        <v>401</v>
      </c>
    </row>
    <row r="15" spans="1:16" ht="34.25" customHeight="1" x14ac:dyDescent="0.15">
      <c r="A15" s="139" t="s">
        <v>1708</v>
      </c>
      <c r="B15" s="371"/>
      <c r="C15" s="372"/>
      <c r="F15" s="374"/>
      <c r="N15" s="137" t="str">
        <f t="shared" si="0"/>
        <v xml:space="preserve">o - </v>
      </c>
      <c r="O15" s="137" t="s">
        <v>402</v>
      </c>
    </row>
    <row r="16" spans="1:16" x14ac:dyDescent="0.15">
      <c r="A16" s="139" t="s">
        <v>1690</v>
      </c>
      <c r="B16" s="142">
        <f>F8</f>
        <v>0</v>
      </c>
      <c r="C16" s="137"/>
      <c r="F16" s="374"/>
      <c r="N16" s="137" t="str">
        <f t="shared" si="0"/>
        <v xml:space="preserve">p - </v>
      </c>
      <c r="O16" s="137" t="s">
        <v>403</v>
      </c>
    </row>
    <row r="17" spans="1:16" ht="32" customHeight="1" x14ac:dyDescent="0.15">
      <c r="A17" s="139" t="s">
        <v>1693</v>
      </c>
      <c r="B17" s="142">
        <f>F9</f>
        <v>0</v>
      </c>
      <c r="C17" s="137"/>
      <c r="F17" s="374"/>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3" t="s">
        <v>1699</v>
      </c>
      <c r="C24" s="373"/>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5" t="s">
        <v>1714</v>
      </c>
      <c r="B2" s="375"/>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2025-06-11T12:19:00Z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