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79E03FA7-6F28-6C4A-B535-4D5A7D902B40}" xr6:coauthVersionLast="47" xr6:coauthVersionMax="47" xr10:uidLastSave="{00000000-0000-0000-0000-000000000000}"/>
  <bookViews>
    <workbookView xWindow="6300" yWindow="760" windowWidth="17380" windowHeight="16760" xr2:uid="{A85BD94A-D0DD-0941-81FB-30573CDBD9FD}"/>
  </bookViews>
  <sheets>
    <sheet name="AŠ NAVÝŠENI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3" l="1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3" i="3"/>
  <c r="AG14" i="3"/>
  <c r="AE4" i="3"/>
  <c r="AD4" i="3"/>
  <c r="AD5" i="3"/>
  <c r="AB9" i="3"/>
  <c r="AJ10" i="3" l="1"/>
  <c r="AJ14" i="3"/>
  <c r="AJ16" i="3"/>
  <c r="AA15" i="3" l="1"/>
  <c r="Z11" i="3"/>
  <c r="Z18" i="3" s="1"/>
  <c r="H11" i="3"/>
  <c r="H13" i="3" l="1"/>
  <c r="C23" i="3" l="1"/>
  <c r="C3" i="3" l="1"/>
  <c r="C18" i="3" l="1"/>
  <c r="W3" i="3"/>
  <c r="H5" i="3"/>
  <c r="H18" i="3" s="1"/>
  <c r="V3" i="3"/>
  <c r="V18" i="3" s="1"/>
  <c r="U3" i="3"/>
  <c r="U18" i="3" s="1"/>
  <c r="T3" i="3"/>
  <c r="T6" i="3"/>
  <c r="T18" i="3" s="1"/>
  <c r="E17" i="3"/>
  <c r="AJ17" i="3" s="1"/>
  <c r="E3" i="3"/>
  <c r="E5" i="3"/>
  <c r="E8" i="3"/>
  <c r="E18" i="3" l="1"/>
  <c r="S6" i="3"/>
  <c r="S18" i="3" s="1"/>
  <c r="AF6" i="3"/>
  <c r="I3" i="3"/>
  <c r="F3" i="3"/>
  <c r="I6" i="3" l="1"/>
  <c r="AJ6" i="3" s="1"/>
  <c r="I18" i="3" l="1"/>
  <c r="R3" i="3"/>
  <c r="O8" i="3"/>
  <c r="Q15" i="3"/>
  <c r="P4" i="3"/>
  <c r="J11" i="3"/>
  <c r="AJ11" i="3" l="1"/>
  <c r="J18" i="3"/>
  <c r="AJ4" i="3"/>
  <c r="P18" i="3"/>
  <c r="AJ15" i="3"/>
  <c r="Q18" i="3"/>
  <c r="O18" i="3"/>
  <c r="AJ8" i="3"/>
  <c r="R18" i="3"/>
  <c r="AJ3" i="3"/>
  <c r="N9" i="3"/>
  <c r="M13" i="3"/>
  <c r="L12" i="3"/>
  <c r="K7" i="3"/>
  <c r="AJ12" i="3" l="1"/>
  <c r="L18" i="3"/>
  <c r="AJ13" i="3"/>
  <c r="M18" i="3"/>
  <c r="AJ7" i="3"/>
  <c r="K18" i="3"/>
  <c r="AJ9" i="3"/>
  <c r="N18" i="3"/>
  <c r="G5" i="3"/>
  <c r="G18" i="3" s="1"/>
  <c r="C24" i="3"/>
  <c r="F5" i="3"/>
  <c r="AJ5" i="3" l="1"/>
  <c r="AJ18" i="3" s="1"/>
  <c r="F18" i="3"/>
  <c r="D17" i="3"/>
  <c r="D3" i="3"/>
  <c r="D4" i="3"/>
  <c r="D10" i="3"/>
  <c r="D11" i="3"/>
  <c r="D9" i="3"/>
  <c r="D16" i="3"/>
  <c r="D8" i="3"/>
  <c r="D15" i="3"/>
  <c r="D7" i="3"/>
  <c r="D14" i="3"/>
  <c r="D6" i="3"/>
  <c r="D13" i="3"/>
  <c r="D5" i="3"/>
  <c r="D12" i="3"/>
  <c r="Y18" i="3"/>
  <c r="AA18" i="3"/>
  <c r="AI18" i="3" l="1"/>
  <c r="D18" i="3"/>
  <c r="W18" i="3"/>
  <c r="X18" i="3"/>
  <c r="AB18" i="3" l="1"/>
  <c r="AC18" i="3"/>
  <c r="AF18" i="3"/>
  <c r="AD18" i="3"/>
</calcChain>
</file>

<file path=xl/sharedStrings.xml><?xml version="1.0" encoding="utf-8"?>
<sst xmlns="http://schemas.openxmlformats.org/spreadsheetml/2006/main" count="53" uniqueCount="53">
  <si>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</si>
  <si>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</si>
  <si>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</si>
  <si>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</si>
  <si>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</si>
  <si>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</si>
  <si>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</si>
  <si>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</si>
  <si>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</si>
  <si>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</si>
  <si>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</si>
  <si>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</si>
  <si>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</si>
  <si>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</si>
  <si>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</si>
  <si>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</si>
  <si>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</si>
  <si>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</si>
  <si>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</si>
  <si>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</si>
  <si>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</si>
  <si>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</si>
  <si>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</si>
  <si>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</si>
  <si>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</si>
  <si>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</si>
  <si>
    <t>AOY</t>
  </si>
  <si>
    <t xml:space="preserve">DFA2025038 Zlín Open </t>
  </si>
  <si>
    <t>DFA2025052 vstupy</t>
  </si>
  <si>
    <t>DFA2025051 prenájom telocvične</t>
  </si>
  <si>
    <t xml:space="preserve">DFA2025042 Bulgarian Open </t>
  </si>
  <si>
    <t>DFA2025036  Štart, trén.služby</t>
  </si>
  <si>
    <t>DFA2025035  Športový materiál</t>
  </si>
  <si>
    <t>DFA2025029</t>
  </si>
  <si>
    <t>DFA2025030</t>
  </si>
  <si>
    <t>DFA2025031</t>
  </si>
  <si>
    <t>GALEB Trophy</t>
  </si>
  <si>
    <t xml:space="preserve">Mental koučing </t>
  </si>
  <si>
    <t xml:space="preserve">Asterix cup </t>
  </si>
  <si>
    <t>Testovanie NSC</t>
  </si>
  <si>
    <t>Gal licencie</t>
  </si>
  <si>
    <t xml:space="preserve">SUS Leto Snina </t>
  </si>
  <si>
    <t>DFA2025182 prenájom telocvičňa</t>
  </si>
  <si>
    <t>DFA2025183 prenájom telocvičňa</t>
  </si>
  <si>
    <t>DFA2025065 Slovenia Open</t>
  </si>
  <si>
    <t>DFA2025063 Štartovné Falcon cup</t>
  </si>
  <si>
    <t xml:space="preserve">DFA2025113 KARLOVAC Open </t>
  </si>
  <si>
    <t xml:space="preserve">DFA2025189 Trénerská činnosť </t>
  </si>
  <si>
    <t>DFA2025203 Štartovné</t>
  </si>
  <si>
    <t>Kemp Spala</t>
  </si>
  <si>
    <t>Plaváreň DFA2025211</t>
  </si>
  <si>
    <t>DFA2025221 Prenájom telocvične</t>
  </si>
  <si>
    <t>DFA2025220 Prenájom telocvične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</si>
</sst>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.00_)\ [$€-1]_ ;_ * \(#,##0.00\)\ [$€-1]_ ;_ * &quot;-&quot;??_)\ [$€-1]_ ;_ @_ "/>
    <numFmt numFmtId="165" formatCode="_ * #,##0_)_ ;_ * \(#,##0\)_ ;_ * &quot;-&quot;??_)_ ;_ @_ "/>
  </numFmts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0" fillId="2" borderId="1" xfId="0" applyFill="1" applyBorder="1" applyAlignment="1">
      <alignment horizontal="center" vertical="center"/>
    </xf>
    <xf numFmtId="44" fontId="0" fillId="8" borderId="1" xfId="0" applyNumberFormat="1" applyFill="1" applyBorder="1"/>
    <xf numFmtId="165" fontId="0" fillId="4" borderId="1" xfId="2" applyNumberFormat="1" applyFont="1" applyFill="1" applyBorder="1"/>
    <xf numFmtId="0" fontId="5" fillId="3" borderId="1" xfId="0" applyFont="1" applyFill="1" applyBorder="1"/>
    <xf numFmtId="0" fontId="0" fillId="3" borderId="1" xfId="0" applyFill="1" applyBorder="1"/>
    <xf numFmtId="0" fontId="0" fillId="3" borderId="0" xfId="0" applyFill="1" applyBorder="1"/>
  </cellXfs>
  <cellStyles count="3">
    <cellStyle name="Čiarka" xfId="2" builtinId="3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J32"/>
  <sheetViews>
    <sheetView tabSelected="1" topLeftCell="Q1" zoomScale="82" workbookViewId="0">
      <selection activeCell="AI13" sqref="AI13"/>
    </sheetView>
  </sheetViews>
  <sheetFormatPr baseColWidth="10" defaultRowHeight="16" x14ac:dyDescent="0.2"/>
  <cols>
    <col min="2" max="2" width="38.33203125" bestFit="1" customWidth="1"/>
    <col min="3" max="3" width="13.33203125" customWidth="1"/>
    <col min="4" max="5" width="12.83203125" customWidth="1"/>
    <col min="6" max="6" width="12.33203125" customWidth="1"/>
    <col min="7" max="9" width="11.5" bestFit="1" customWidth="1"/>
    <col min="10" max="10" width="12.6640625" customWidth="1"/>
    <col min="13" max="13" width="11.5" bestFit="1" customWidth="1"/>
    <col min="14" max="14" width="12" customWidth="1"/>
    <col min="15" max="15" width="11.83203125" customWidth="1"/>
    <col min="16" max="16" width="12" customWidth="1"/>
    <col min="17" max="18" width="11.6640625" customWidth="1"/>
    <col min="19" max="19" width="11.83203125" customWidth="1"/>
    <col min="21" max="21" width="11.5" bestFit="1" customWidth="1"/>
    <col min="22" max="22" width="12.33203125" customWidth="1"/>
    <col min="23" max="23" width="12.6640625" customWidth="1"/>
    <col min="24" max="24" width="12.5" customWidth="1"/>
    <col min="25" max="25" width="11" customWidth="1"/>
    <col min="26" max="26" width="11.83203125" customWidth="1"/>
    <col min="27" max="27" width="12.5" customWidth="1"/>
    <col min="28" max="28" width="11.83203125" bestFit="1" customWidth="1"/>
    <col min="29" max="29" width="11.5" bestFit="1" customWidth="1"/>
    <col min="30" max="31" width="11.5" customWidth="1"/>
    <col min="32" max="32" width="11.5" bestFit="1" customWidth="1"/>
    <col min="33" max="34" width="11.5" customWidth="1"/>
    <col min="35" max="35" width="11.83203125" bestFit="1" customWidth="1"/>
    <col min="36" max="36" width="13" customWidth="1"/>
  </cols>
  <sheetData>
    <row r="2" spans="2:36" ht="51" x14ac:dyDescent="0.2">
      <c r="B2" s="1" t="s">
        <v>0</v>
      </c>
      <c r="C2" s="2" t="s">
        <v>20</v>
      </c>
      <c r="D2" s="2" t="s">
        <v>1</v>
      </c>
      <c r="E2" s="11" t="s">
        <v>37</v>
      </c>
      <c r="F2" s="11" t="s">
        <v>21</v>
      </c>
      <c r="G2" s="11" t="s">
        <v>24</v>
      </c>
      <c r="H2" s="11" t="s">
        <v>25</v>
      </c>
      <c r="I2" s="11" t="s">
        <v>26</v>
      </c>
      <c r="J2" s="19" t="s">
        <v>33</v>
      </c>
      <c r="K2" s="19" t="s">
        <v>34</v>
      </c>
      <c r="L2" s="19" t="s">
        <v>35</v>
      </c>
      <c r="M2" s="11" t="s">
        <v>32</v>
      </c>
      <c r="N2" s="11" t="s">
        <v>31</v>
      </c>
      <c r="O2" s="11" t="s">
        <v>30</v>
      </c>
      <c r="P2" s="11" t="s">
        <v>29</v>
      </c>
      <c r="Q2" s="12" t="s">
        <v>28</v>
      </c>
      <c r="R2" s="12" t="s">
        <v>27</v>
      </c>
      <c r="S2" s="12" t="s">
        <v>44</v>
      </c>
      <c r="T2" s="12" t="s">
        <v>36</v>
      </c>
      <c r="U2" s="12" t="s">
        <v>38</v>
      </c>
      <c r="V2" s="12" t="s">
        <v>39</v>
      </c>
      <c r="W2" s="12" t="s">
        <v>46</v>
      </c>
      <c r="X2" s="12" t="s">
        <v>40</v>
      </c>
      <c r="Y2" s="12" t="s">
        <v>41</v>
      </c>
      <c r="Z2" s="12" t="s">
        <v>42</v>
      </c>
      <c r="AA2" s="12" t="s">
        <v>43</v>
      </c>
      <c r="AB2" s="12" t="s">
        <v>47</v>
      </c>
      <c r="AC2" s="12" t="s">
        <v>48</v>
      </c>
      <c r="AD2" s="12" t="s">
        <v>49</v>
      </c>
      <c r="AE2" s="12" t="s">
        <v>50</v>
      </c>
      <c r="AF2" s="11" t="s">
        <v>45</v>
      </c>
      <c r="AG2" s="11" t="s">
        <v>52</v>
      </c>
      <c r="AH2" s="11" t="s">
        <v>51</v>
      </c>
      <c r="AI2" s="1" t="s">
        <v>2</v>
      </c>
      <c r="AJ2" s="1" t="s">
        <v>22</v>
      </c>
    </row>
    <row r="3" spans="2:36" x14ac:dyDescent="0.2">
      <c r="B3" s="3" t="s">
        <v>3</v>
      </c>
      <c r="C3" s="16">
        <f>75</f>
        <v>75</v>
      </c>
      <c r="D3" s="8">
        <f>C3*$C$24+43.33+18.93</f>
        <v>4868.443206106871</v>
      </c>
      <c r="E3" s="4">
        <f>-300-30</f>
        <v>-330</v>
      </c>
      <c r="F3" s="4">
        <f>-60.29-100</f>
        <v>-160.29</v>
      </c>
      <c r="G3" s="4"/>
      <c r="H3" s="4"/>
      <c r="I3" s="4">
        <f>-50-148.13-28.13</f>
        <v>-226.26</v>
      </c>
      <c r="J3" s="4"/>
      <c r="K3" s="4"/>
      <c r="L3" s="4"/>
      <c r="M3" s="4"/>
      <c r="N3" s="4"/>
      <c r="O3" s="4"/>
      <c r="P3" s="4"/>
      <c r="Q3" s="4"/>
      <c r="R3" s="4">
        <f>-784.66</f>
        <v>-784.66</v>
      </c>
      <c r="S3" s="4"/>
      <c r="T3" s="4">
        <f>-365-40.8</f>
        <v>-405.8</v>
      </c>
      <c r="U3" s="4">
        <f>-34.86</f>
        <v>-34.86</v>
      </c>
      <c r="V3" s="4">
        <f>-226.1/2</f>
        <v>-113.05</v>
      </c>
      <c r="W3" s="4">
        <f>-1102.96</f>
        <v>-1102.96</v>
      </c>
      <c r="X3" s="4">
        <v>-63.13</v>
      </c>
      <c r="Y3" s="4">
        <v>-445.75</v>
      </c>
      <c r="Z3" s="4"/>
      <c r="AA3" s="4"/>
      <c r="AB3" s="4"/>
      <c r="AC3" s="4"/>
      <c r="AD3" s="4">
        <v>-1199.4100000000001</v>
      </c>
      <c r="AE3" s="4"/>
      <c r="AF3" s="4"/>
      <c r="AG3" s="4"/>
      <c r="AH3" s="4"/>
      <c r="AI3" s="18">
        <f>D3+SUM(E3:AH3)</f>
        <v>2.2732061068709299</v>
      </c>
      <c r="AJ3" s="18">
        <f>-SUM(E3:AF3)</f>
        <v>4866.17</v>
      </c>
    </row>
    <row r="4" spans="2:36" x14ac:dyDescent="0.2">
      <c r="B4" s="3" t="s">
        <v>4</v>
      </c>
      <c r="C4" s="16">
        <v>17</v>
      </c>
      <c r="D4" s="8">
        <f t="shared" ref="D4:D16" si="0">C4*$C$24</f>
        <v>1089.4015267175573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f>-736.63</f>
        <v>-736.63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>
        <f>-172.51</f>
        <v>-172.51</v>
      </c>
      <c r="AE4" s="4">
        <f>-135</f>
        <v>-135</v>
      </c>
      <c r="AF4" s="4"/>
      <c r="AG4" s="4"/>
      <c r="AH4" s="4"/>
      <c r="AI4" s="18">
        <f t="shared" ref="AI4:AI17" si="1">D4+SUM(E4:AH4)</f>
        <v>45.261526717557444</v>
      </c>
      <c r="AJ4" s="18">
        <f t="shared" ref="AJ4:AJ17" si="2">-SUM(E4:AF4)</f>
        <v>1044.1399999999999</v>
      </c>
    </row>
    <row r="5" spans="2:36" x14ac:dyDescent="0.2">
      <c r="B5" s="3" t="s">
        <v>17</v>
      </c>
      <c r="C5" s="16">
        <v>35</v>
      </c>
      <c r="D5" s="8">
        <f t="shared" si="0"/>
        <v>2242.8854961832062</v>
      </c>
      <c r="E5" s="4">
        <f>-300-30</f>
        <v>-330</v>
      </c>
      <c r="F5" s="4">
        <f>-(2*60.29)</f>
        <v>-120.58</v>
      </c>
      <c r="G5" s="4">
        <f>-160</f>
        <v>-160</v>
      </c>
      <c r="H5" s="4">
        <f>-270.4</f>
        <v>-270.39999999999998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-127.36</v>
      </c>
      <c r="Z5" s="4"/>
      <c r="AA5" s="4"/>
      <c r="AB5" s="4"/>
      <c r="AC5" s="4"/>
      <c r="AD5" s="4">
        <f>-202</f>
        <v>-202</v>
      </c>
      <c r="AE5" s="4"/>
      <c r="AF5" s="4"/>
      <c r="AG5" s="4"/>
      <c r="AH5" s="4"/>
      <c r="AI5" s="18">
        <f t="shared" si="1"/>
        <v>1032.5454961832063</v>
      </c>
      <c r="AJ5" s="18">
        <f t="shared" si="2"/>
        <v>1210.3399999999999</v>
      </c>
    </row>
    <row r="6" spans="2:36" x14ac:dyDescent="0.2">
      <c r="B6" s="5" t="s">
        <v>5</v>
      </c>
      <c r="C6" s="16">
        <v>24</v>
      </c>
      <c r="D6" s="8">
        <f t="shared" si="0"/>
        <v>1537.9786259541986</v>
      </c>
      <c r="E6" s="4">
        <v>-30</v>
      </c>
      <c r="F6" s="4"/>
      <c r="G6" s="4"/>
      <c r="H6" s="4"/>
      <c r="I6" s="4">
        <f>-148.13</f>
        <v>-148.13</v>
      </c>
      <c r="J6" s="4"/>
      <c r="K6" s="4"/>
      <c r="L6" s="4"/>
      <c r="M6" s="4"/>
      <c r="N6" s="4"/>
      <c r="O6" s="4"/>
      <c r="P6" s="4"/>
      <c r="Q6" s="4"/>
      <c r="R6" s="4"/>
      <c r="S6" s="4">
        <f>-150</f>
        <v>-150</v>
      </c>
      <c r="T6" s="4">
        <f>-(14.38+14.38+141.05)</f>
        <v>-169.81</v>
      </c>
      <c r="U6" s="4"/>
      <c r="V6" s="4"/>
      <c r="W6" s="4"/>
      <c r="X6" s="4"/>
      <c r="Y6" s="4"/>
      <c r="Z6" s="4"/>
      <c r="AA6" s="4"/>
      <c r="AB6" s="4"/>
      <c r="AC6" s="4"/>
      <c r="AD6" s="4">
        <v>-312.51</v>
      </c>
      <c r="AE6" s="4"/>
      <c r="AF6" s="4">
        <f>-491.31</f>
        <v>-491.31</v>
      </c>
      <c r="AG6" s="4"/>
      <c r="AH6" s="4"/>
      <c r="AI6" s="18">
        <f t="shared" si="1"/>
        <v>236.21862595419861</v>
      </c>
      <c r="AJ6" s="18">
        <f t="shared" si="2"/>
        <v>1301.76</v>
      </c>
    </row>
    <row r="7" spans="2:36" ht="17" customHeight="1" x14ac:dyDescent="0.2">
      <c r="B7" s="3" t="s">
        <v>6</v>
      </c>
      <c r="C7" s="17">
        <v>20</v>
      </c>
      <c r="D7" s="8">
        <f t="shared" si="0"/>
        <v>1281.6488549618321</v>
      </c>
      <c r="E7" s="4"/>
      <c r="F7" s="4"/>
      <c r="G7" s="4"/>
      <c r="H7" s="4"/>
      <c r="I7" s="4"/>
      <c r="J7" s="4"/>
      <c r="K7" s="4">
        <f>-866.62</f>
        <v>-866.62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8">
        <f t="shared" si="1"/>
        <v>415.02885496183205</v>
      </c>
      <c r="AJ7" s="18">
        <f t="shared" si="2"/>
        <v>866.62</v>
      </c>
    </row>
    <row r="8" spans="2:36" x14ac:dyDescent="0.2">
      <c r="B8" s="3" t="s">
        <v>7</v>
      </c>
      <c r="C8" s="17">
        <v>21</v>
      </c>
      <c r="D8" s="8">
        <f t="shared" si="0"/>
        <v>1345.7312977099239</v>
      </c>
      <c r="E8" s="4">
        <f>-300-30</f>
        <v>-330</v>
      </c>
      <c r="F8" s="4"/>
      <c r="G8" s="4"/>
      <c r="H8" s="4"/>
      <c r="I8" s="4"/>
      <c r="J8" s="4"/>
      <c r="K8" s="4"/>
      <c r="L8" s="4"/>
      <c r="M8" s="4"/>
      <c r="N8" s="4"/>
      <c r="O8" s="4">
        <f>-(50+390.54)</f>
        <v>-440.54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8">
        <f t="shared" si="1"/>
        <v>575.1912977099239</v>
      </c>
      <c r="AJ8" s="18">
        <f t="shared" si="2"/>
        <v>770.54</v>
      </c>
    </row>
    <row r="9" spans="2:36" x14ac:dyDescent="0.2">
      <c r="B9" s="3" t="s">
        <v>8</v>
      </c>
      <c r="C9" s="17">
        <v>19</v>
      </c>
      <c r="D9" s="8">
        <f t="shared" si="0"/>
        <v>1217.5664122137405</v>
      </c>
      <c r="E9" s="4"/>
      <c r="F9" s="4"/>
      <c r="G9" s="4"/>
      <c r="H9" s="4"/>
      <c r="I9" s="4"/>
      <c r="J9" s="4"/>
      <c r="K9" s="4"/>
      <c r="L9" s="4"/>
      <c r="M9" s="4"/>
      <c r="N9" s="4">
        <f>-823.29</f>
        <v>-823.29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>
        <f>-394.28</f>
        <v>-394.28</v>
      </c>
      <c r="AC9" s="4"/>
      <c r="AD9" s="4"/>
      <c r="AE9" s="4"/>
      <c r="AF9" s="4"/>
      <c r="AG9" s="4"/>
      <c r="AH9" s="4"/>
      <c r="AI9" s="20">
        <f t="shared" si="1"/>
        <v>-3.5877862594588805E-3</v>
      </c>
      <c r="AJ9" s="18">
        <f t="shared" si="2"/>
        <v>1217.57</v>
      </c>
    </row>
    <row r="10" spans="2:36" x14ac:dyDescent="0.2">
      <c r="B10" s="3" t="s">
        <v>9</v>
      </c>
      <c r="C10" s="17">
        <v>3</v>
      </c>
      <c r="D10" s="8">
        <f t="shared" si="0"/>
        <v>192.24732824427483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8">
        <f t="shared" si="1"/>
        <v>192.24732824427483</v>
      </c>
      <c r="AJ10" s="18">
        <f t="shared" si="2"/>
        <v>0</v>
      </c>
    </row>
    <row r="11" spans="2:36" x14ac:dyDescent="0.2">
      <c r="B11" s="3" t="s">
        <v>10</v>
      </c>
      <c r="C11" s="17">
        <v>5</v>
      </c>
      <c r="D11" s="8">
        <f t="shared" si="0"/>
        <v>320.41221374045801</v>
      </c>
      <c r="E11" s="4"/>
      <c r="F11" s="4"/>
      <c r="G11" s="4"/>
      <c r="H11" s="4">
        <f>-5.75</f>
        <v>-5.75</v>
      </c>
      <c r="I11" s="4"/>
      <c r="J11" s="4">
        <f>-216.66</f>
        <v>-216.66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>-98</f>
        <v>-98</v>
      </c>
      <c r="AA11" s="4"/>
      <c r="AB11" s="4"/>
      <c r="AC11" s="4"/>
      <c r="AD11" s="4"/>
      <c r="AE11" s="4"/>
      <c r="AF11" s="4"/>
      <c r="AG11" s="4"/>
      <c r="AH11" s="4"/>
      <c r="AI11" s="20">
        <f t="shared" si="1"/>
        <v>2.2137404580462317E-3</v>
      </c>
      <c r="AJ11" s="18">
        <f t="shared" si="2"/>
        <v>320.40999999999997</v>
      </c>
    </row>
    <row r="12" spans="2:36" x14ac:dyDescent="0.2">
      <c r="B12" s="3" t="s">
        <v>11</v>
      </c>
      <c r="C12" s="17">
        <v>13</v>
      </c>
      <c r="D12" s="8">
        <f t="shared" si="0"/>
        <v>833.07175572519088</v>
      </c>
      <c r="E12" s="4"/>
      <c r="F12" s="4"/>
      <c r="G12" s="4"/>
      <c r="H12" s="4"/>
      <c r="I12" s="4"/>
      <c r="J12" s="4"/>
      <c r="K12" s="4"/>
      <c r="L12" s="4">
        <f>-563.3</f>
        <v>-563.29999999999995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>
        <v>-269.77</v>
      </c>
      <c r="AD12" s="10"/>
      <c r="AE12" s="10"/>
      <c r="AF12" s="10"/>
      <c r="AG12" s="10"/>
      <c r="AH12" s="10"/>
      <c r="AI12" s="20">
        <f t="shared" si="1"/>
        <v>1.7557251909465776E-3</v>
      </c>
      <c r="AJ12" s="18">
        <f t="shared" si="2"/>
        <v>833.06999999999994</v>
      </c>
    </row>
    <row r="13" spans="2:36" x14ac:dyDescent="0.2">
      <c r="B13" s="3" t="s">
        <v>12</v>
      </c>
      <c r="C13" s="17">
        <v>13</v>
      </c>
      <c r="D13" s="8">
        <f t="shared" si="0"/>
        <v>833.07175572519088</v>
      </c>
      <c r="E13" s="4"/>
      <c r="F13" s="4"/>
      <c r="G13" s="4"/>
      <c r="H13" s="4">
        <f>-269.77</f>
        <v>-269.77</v>
      </c>
      <c r="I13" s="4"/>
      <c r="J13" s="4"/>
      <c r="K13" s="4"/>
      <c r="L13" s="4"/>
      <c r="M13" s="4">
        <f>-563.3</f>
        <v>-563.29999999999995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20">
        <f t="shared" si="1"/>
        <v>1.7557251909465776E-3</v>
      </c>
      <c r="AJ13" s="18">
        <f t="shared" si="2"/>
        <v>833.06999999999994</v>
      </c>
    </row>
    <row r="14" spans="2:36" x14ac:dyDescent="0.2">
      <c r="B14" s="3" t="s">
        <v>13</v>
      </c>
      <c r="C14" s="17">
        <v>11</v>
      </c>
      <c r="D14" s="8">
        <f t="shared" si="0"/>
        <v>704.90687022900772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>
        <f>-522.5</f>
        <v>-522.5</v>
      </c>
      <c r="AH14" s="4">
        <f>-182.41</f>
        <v>-182.41</v>
      </c>
      <c r="AI14" s="20">
        <f t="shared" si="1"/>
        <v>-3.1297709922455397E-3</v>
      </c>
      <c r="AJ14" s="18">
        <f t="shared" si="2"/>
        <v>0</v>
      </c>
    </row>
    <row r="15" spans="2:36" x14ac:dyDescent="0.2">
      <c r="B15" s="3" t="s">
        <v>15</v>
      </c>
      <c r="C15" s="17">
        <v>1</v>
      </c>
      <c r="D15" s="8">
        <f t="shared" si="0"/>
        <v>64.082442748091609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>-43.33</f>
        <v>-43.33</v>
      </c>
      <c r="R15" s="4"/>
      <c r="S15" s="4"/>
      <c r="T15" s="4"/>
      <c r="U15" s="4"/>
      <c r="V15" s="4"/>
      <c r="W15" s="4"/>
      <c r="X15" s="4"/>
      <c r="Y15" s="4"/>
      <c r="Z15" s="4"/>
      <c r="AA15" s="4">
        <f>-20.75</f>
        <v>-20.75</v>
      </c>
      <c r="AB15" s="4"/>
      <c r="AC15" s="4"/>
      <c r="AD15" s="4"/>
      <c r="AE15" s="4"/>
      <c r="AF15" s="4"/>
      <c r="AG15" s="4"/>
      <c r="AH15" s="4"/>
      <c r="AI15" s="20">
        <f t="shared" si="1"/>
        <v>2.4427480916102695E-3</v>
      </c>
      <c r="AJ15" s="18">
        <f t="shared" si="2"/>
        <v>64.08</v>
      </c>
    </row>
    <row r="16" spans="2:36" x14ac:dyDescent="0.2">
      <c r="B16" s="9" t="s">
        <v>14</v>
      </c>
      <c r="C16" s="16">
        <v>2</v>
      </c>
      <c r="D16" s="8">
        <f t="shared" si="0"/>
        <v>128.16488549618322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8">
        <f t="shared" si="1"/>
        <v>128.16488549618322</v>
      </c>
      <c r="AJ16" s="18">
        <f t="shared" si="2"/>
        <v>0</v>
      </c>
    </row>
    <row r="17" spans="2:36" x14ac:dyDescent="0.2">
      <c r="B17" s="9"/>
      <c r="C17" s="16">
        <v>3</v>
      </c>
      <c r="D17" s="8">
        <f>C17*$C$24-43.33-18.93</f>
        <v>129.98732824427481</v>
      </c>
      <c r="E17" s="4">
        <f>-129.99</f>
        <v>-129.99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8">
        <f t="shared" si="1"/>
        <v>-2.6717557252027291E-3</v>
      </c>
      <c r="AJ17" s="18">
        <f t="shared" si="2"/>
        <v>129.99</v>
      </c>
    </row>
    <row r="18" spans="2:36" x14ac:dyDescent="0.2">
      <c r="B18" s="6" t="s">
        <v>16</v>
      </c>
      <c r="C18" s="21">
        <f>SUM(C3:C17)</f>
        <v>262</v>
      </c>
      <c r="D18" s="7">
        <f>SUM(D3:D17)</f>
        <v>16789.599999999999</v>
      </c>
      <c r="E18" s="7">
        <f>SUM(E3:E17)</f>
        <v>-1149.99</v>
      </c>
      <c r="F18" s="7">
        <f t="shared" ref="F18:V18" si="3">SUM(F3:F17)</f>
        <v>-280.87</v>
      </c>
      <c r="G18" s="7">
        <f t="shared" si="3"/>
        <v>-160</v>
      </c>
      <c r="H18" s="7">
        <f t="shared" si="3"/>
        <v>-545.91999999999996</v>
      </c>
      <c r="I18" s="7">
        <f t="shared" si="3"/>
        <v>-374.39</v>
      </c>
      <c r="J18" s="7">
        <f t="shared" si="3"/>
        <v>-216.66</v>
      </c>
      <c r="K18" s="7">
        <f t="shared" si="3"/>
        <v>-866.62</v>
      </c>
      <c r="L18" s="7">
        <f t="shared" si="3"/>
        <v>-563.29999999999995</v>
      </c>
      <c r="M18" s="7">
        <f t="shared" si="3"/>
        <v>-563.29999999999995</v>
      </c>
      <c r="N18" s="7">
        <f t="shared" si="3"/>
        <v>-823.29</v>
      </c>
      <c r="O18" s="7">
        <f t="shared" si="3"/>
        <v>-440.54</v>
      </c>
      <c r="P18" s="7">
        <f t="shared" si="3"/>
        <v>-736.63</v>
      </c>
      <c r="Q18" s="7">
        <f t="shared" si="3"/>
        <v>-43.33</v>
      </c>
      <c r="R18" s="7">
        <f t="shared" si="3"/>
        <v>-784.66</v>
      </c>
      <c r="S18" s="7">
        <f t="shared" si="3"/>
        <v>-150</v>
      </c>
      <c r="T18" s="7">
        <f t="shared" si="3"/>
        <v>-575.61</v>
      </c>
      <c r="U18" s="7">
        <f t="shared" si="3"/>
        <v>-34.86</v>
      </c>
      <c r="V18" s="7">
        <f t="shared" si="3"/>
        <v>-113.05</v>
      </c>
      <c r="W18" s="7">
        <f t="shared" ref="W18:AF18" si="4">SUM(W3:W16)</f>
        <v>-1102.96</v>
      </c>
      <c r="X18" s="7">
        <f t="shared" si="4"/>
        <v>-63.13</v>
      </c>
      <c r="Y18" s="7">
        <f t="shared" si="4"/>
        <v>-573.11</v>
      </c>
      <c r="Z18" s="7">
        <f t="shared" si="4"/>
        <v>-98</v>
      </c>
      <c r="AA18" s="7">
        <f t="shared" si="4"/>
        <v>-20.75</v>
      </c>
      <c r="AB18" s="7">
        <f t="shared" si="4"/>
        <v>-394.28</v>
      </c>
      <c r="AC18" s="7">
        <f t="shared" si="4"/>
        <v>-269.77</v>
      </c>
      <c r="AD18" s="7">
        <f t="shared" si="4"/>
        <v>-1886.43</v>
      </c>
      <c r="AE18" s="7"/>
      <c r="AF18" s="7">
        <f t="shared" si="4"/>
        <v>-491.31</v>
      </c>
      <c r="AG18" s="7"/>
      <c r="AH18" s="7"/>
      <c r="AI18" s="7">
        <f>SUM(AI3:AI17)</f>
        <v>2626.9300000000021</v>
      </c>
      <c r="AJ18" s="7">
        <f>SUM(AJ3:AJ17)</f>
        <v>13457.759999999998</v>
      </c>
    </row>
    <row r="19" spans="2:36" x14ac:dyDescent="0.2">
      <c r="B19" s="6" t="s">
        <v>23</v>
      </c>
      <c r="C19" s="6"/>
      <c r="D19" s="7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24"/>
    </row>
    <row r="22" spans="2:36" x14ac:dyDescent="0.2">
      <c r="B22" t="s">
        <v>19</v>
      </c>
      <c r="C22">
        <v>262</v>
      </c>
    </row>
    <row r="23" spans="2:36" x14ac:dyDescent="0.2">
      <c r="B23" s="13">
        <v>0.15</v>
      </c>
      <c r="C23" s="14">
        <f>83948*0.2</f>
        <v>16789.600000000002</v>
      </c>
      <c r="AJ23" s="15"/>
    </row>
    <row r="24" spans="2:36" x14ac:dyDescent="0.2">
      <c r="B24" t="s">
        <v>18</v>
      </c>
      <c r="C24" s="15">
        <f>C23/C22</f>
        <v>64.082442748091609</v>
      </c>
    </row>
    <row r="25" spans="2:36" x14ac:dyDescent="0.2">
      <c r="AA25" s="15"/>
    </row>
    <row r="28" spans="2:36" x14ac:dyDescent="0.2">
      <c r="J28" s="15"/>
    </row>
    <row r="32" spans="2:36" x14ac:dyDescent="0.2">
      <c r="AA32" s="15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NAVÝŠENIE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2025-10-21T06:43:33Z</dcterms:modified>
</cp:coreProperties>
</file>