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xandrafilipova/Library/Mobile Documents/com~apple~CloudDocs/Documents/SATKD/2025/Rozpočty/"/>
    </mc:Choice>
  </mc:AlternateContent>
  <xr:revisionPtr revIDLastSave="0" documentId="13_ncr:1_{BFFA5614-A91C-5E43-A271-42DA6EF5755A}" xr6:coauthVersionLast="47" xr6:coauthVersionMax="47" xr10:uidLastSave="{00000000-0000-0000-0000-000000000000}"/>
  <bookViews>
    <workbookView xWindow="720" yWindow="760" windowWidth="24880" windowHeight="16760" xr2:uid="{A85BD94A-D0DD-0941-81FB-30573CDBD9FD}"/>
  </bookViews>
  <sheets>
    <sheet name="AŠ NAVÝŠENI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5" i="3" l="1"/>
  <c r="AO6" i="3"/>
  <c r="AO7" i="3"/>
  <c r="AO8" i="3"/>
  <c r="AO9" i="3"/>
  <c r="AO10" i="3"/>
  <c r="AO11" i="3"/>
  <c r="AO12" i="3"/>
  <c r="AO13" i="3"/>
  <c r="AO14" i="3"/>
  <c r="AO15" i="3"/>
  <c r="AO16" i="3"/>
  <c r="AO17" i="3"/>
  <c r="AO3" i="3"/>
  <c r="AO4" i="3"/>
  <c r="AO5" i="3"/>
  <c r="AN5" i="3"/>
  <c r="AN3" i="3"/>
  <c r="AN4" i="3"/>
  <c r="AN6" i="3"/>
  <c r="AL8" i="3"/>
  <c r="AK8" i="3" l="1"/>
  <c r="AJ5" i="3"/>
  <c r="AI7" i="3"/>
  <c r="AH14" i="3" l="1"/>
  <c r="AG14" i="3"/>
  <c r="AE4" i="3"/>
  <c r="AD4" i="3"/>
  <c r="AD5" i="3"/>
  <c r="AB9" i="3"/>
  <c r="AA15" i="3" l="1"/>
  <c r="Z11" i="3"/>
  <c r="Z18" i="3" s="1"/>
  <c r="H11" i="3"/>
  <c r="H13" i="3" l="1"/>
  <c r="C23" i="3" l="1"/>
  <c r="C3" i="3" l="1"/>
  <c r="C18" i="3" l="1"/>
  <c r="W3" i="3"/>
  <c r="H5" i="3"/>
  <c r="H18" i="3" s="1"/>
  <c r="V3" i="3"/>
  <c r="V18" i="3" s="1"/>
  <c r="U3" i="3"/>
  <c r="U18" i="3" s="1"/>
  <c r="T3" i="3"/>
  <c r="T6" i="3"/>
  <c r="T18" i="3" s="1"/>
  <c r="E17" i="3"/>
  <c r="E3" i="3"/>
  <c r="E5" i="3"/>
  <c r="E8" i="3"/>
  <c r="E18" i="3" l="1"/>
  <c r="S6" i="3"/>
  <c r="S18" i="3" s="1"/>
  <c r="AF6" i="3"/>
  <c r="I3" i="3"/>
  <c r="F3" i="3"/>
  <c r="I6" i="3" l="1"/>
  <c r="I18" i="3" l="1"/>
  <c r="R3" i="3"/>
  <c r="O8" i="3"/>
  <c r="Q15" i="3"/>
  <c r="P4" i="3"/>
  <c r="J11" i="3"/>
  <c r="J18" i="3" l="1"/>
  <c r="P18" i="3"/>
  <c r="Q18" i="3"/>
  <c r="O18" i="3"/>
  <c r="R18" i="3"/>
  <c r="N9" i="3"/>
  <c r="M13" i="3"/>
  <c r="L12" i="3"/>
  <c r="K7" i="3"/>
  <c r="L18" i="3" l="1"/>
  <c r="M18" i="3"/>
  <c r="K18" i="3"/>
  <c r="N18" i="3"/>
  <c r="G5" i="3"/>
  <c r="G18" i="3" s="1"/>
  <c r="C24" i="3"/>
  <c r="F5" i="3"/>
  <c r="AO18" i="3" l="1"/>
  <c r="F18" i="3"/>
  <c r="D17" i="3"/>
  <c r="AN17" i="3" s="1"/>
  <c r="D3" i="3"/>
  <c r="D4" i="3"/>
  <c r="D10" i="3"/>
  <c r="AN10" i="3" s="1"/>
  <c r="D11" i="3"/>
  <c r="AN11" i="3" s="1"/>
  <c r="D9" i="3"/>
  <c r="AN9" i="3" s="1"/>
  <c r="D16" i="3"/>
  <c r="AN16" i="3" s="1"/>
  <c r="D8" i="3"/>
  <c r="AN8" i="3" s="1"/>
  <c r="D15" i="3"/>
  <c r="AN15" i="3" s="1"/>
  <c r="D7" i="3"/>
  <c r="AN7" i="3" s="1"/>
  <c r="D14" i="3"/>
  <c r="AN14" i="3" s="1"/>
  <c r="D6" i="3"/>
  <c r="D13" i="3"/>
  <c r="AN13" i="3" s="1"/>
  <c r="D5" i="3"/>
  <c r="D12" i="3"/>
  <c r="AN12" i="3" s="1"/>
  <c r="Y18" i="3"/>
  <c r="AA18" i="3"/>
  <c r="AN18" i="3" l="1"/>
  <c r="D18" i="3"/>
  <c r="W18" i="3"/>
  <c r="X18" i="3"/>
  <c r="AB18" i="3" l="1"/>
  <c r="AC18" i="3"/>
  <c r="AF18" i="3"/>
  <c r="AD18" i="3"/>
</calcChain>
</file>

<file path=xl/sharedStrings.xml><?xml version="1.0" encoding="utf-8"?>
<sst xmlns="http://schemas.openxmlformats.org/spreadsheetml/2006/main" count="58" uniqueCount="57">
  <si>
    <t>KLUB</t>
  </si>
  <si>
    <t>pridelené</t>
  </si>
  <si>
    <t>ostáva</t>
  </si>
  <si>
    <t>Športový klub polície ILYO Košice</t>
  </si>
  <si>
    <t>Black Tiger Taekwondo - Klub Snina</t>
  </si>
  <si>
    <t>KORYO TKD Slávia UPJŠ KE</t>
  </si>
  <si>
    <t xml:space="preserve">FALCON TAEKWONDO klub Rimavská Sobota </t>
  </si>
  <si>
    <t>Taekwondo klub Hnúšťa</t>
  </si>
  <si>
    <t>TAEKWONDO HAKIMI Rožňava</t>
  </si>
  <si>
    <t xml:space="preserve">Taekwondo klub Humenné </t>
  </si>
  <si>
    <t>KORYO PANTHERS TAEKWONDO Rožňava</t>
  </si>
  <si>
    <t>ILYO-Taekwondo Trenčín</t>
  </si>
  <si>
    <t>Star-club bojových umení</t>
  </si>
  <si>
    <t>Taekwondo 4U Liptovský Mikuláš</t>
  </si>
  <si>
    <t>ILYO Taekwondo  Zvolen</t>
  </si>
  <si>
    <t>ILYO Taekwondo  Prešov</t>
  </si>
  <si>
    <t>SPOLU</t>
  </si>
  <si>
    <t xml:space="preserve">Športový klub polície - Bratislava RYONG </t>
  </si>
  <si>
    <t xml:space="preserve">Pridelená suma na 1 AŠ: </t>
  </si>
  <si>
    <t xml:space="preserve">Počet AŠ: </t>
  </si>
  <si>
    <t>AŠ</t>
  </si>
  <si>
    <t>Winter camp 01/2025</t>
  </si>
  <si>
    <t>Vyčerpané</t>
  </si>
  <si>
    <t>Poznámka:</t>
  </si>
  <si>
    <t>Školenie BA 1.kv.stupeň</t>
  </si>
  <si>
    <t xml:space="preserve">Športový materiál </t>
  </si>
  <si>
    <t>AOY</t>
  </si>
  <si>
    <t xml:space="preserve">DFA2025038 Zlín Open </t>
  </si>
  <si>
    <t>DFA2025052 vstupy</t>
  </si>
  <si>
    <t>DFA2025051 prenájom telocvične</t>
  </si>
  <si>
    <t xml:space="preserve">DFA2025042 Bulgarian Open </t>
  </si>
  <si>
    <t>DFA2025036  Štart, trén.služby</t>
  </si>
  <si>
    <t>DFA2025035  Športový materiál</t>
  </si>
  <si>
    <t>DFA2025029</t>
  </si>
  <si>
    <t>DFA2025030</t>
  </si>
  <si>
    <t>DFA2025031</t>
  </si>
  <si>
    <t>GALEB Trophy</t>
  </si>
  <si>
    <t xml:space="preserve">Mental koučing </t>
  </si>
  <si>
    <t xml:space="preserve">Asterix cup </t>
  </si>
  <si>
    <t>Testovanie NSC</t>
  </si>
  <si>
    <t>Gal licencie</t>
  </si>
  <si>
    <t xml:space="preserve">SUS Leto Snina </t>
  </si>
  <si>
    <t>DFA2025182 prenájom telocvičňa</t>
  </si>
  <si>
    <t>DFA2025183 prenájom telocvičňa</t>
  </si>
  <si>
    <t>DFA2025065 Slovenia Open</t>
  </si>
  <si>
    <t>DFA2025063 Štartovné Falcon cup</t>
  </si>
  <si>
    <t xml:space="preserve">DFA2025113 KARLOVAC Open </t>
  </si>
  <si>
    <t xml:space="preserve">DFA2025189 Trénerská činnosť </t>
  </si>
  <si>
    <t>DFA2025203 Štartovné</t>
  </si>
  <si>
    <t>Kemp Spala</t>
  </si>
  <si>
    <t>Plaváreň DFA2025211</t>
  </si>
  <si>
    <t>DFA2025221 Prenájom telocvične</t>
  </si>
  <si>
    <t>DFA2025220 Prenájom telocvične</t>
  </si>
  <si>
    <t>MEC</t>
  </si>
  <si>
    <t xml:space="preserve">DFA2025239 Športový materiál </t>
  </si>
  <si>
    <t>DFA2025243 G1 Austria Open Poomsae</t>
  </si>
  <si>
    <t>MEJ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</si>
</sst>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* #,##0.00_)\ &quot;€&quot;_ ;_ * \(#,##0.00\)\ &quot;€&quot;_ ;_ * &quot;-&quot;??_)\ &quot;€&quot;_ ;_ @_ "/>
    <numFmt numFmtId="43" formatCode="_ * #,##0.00_)_ ;_ * \(#,##0.00\)_ ;_ * &quot;-&quot;??_)_ ;_ @_ "/>
    <numFmt numFmtId="164" formatCode="_ * #,##0.00_)\ [$€-1]_ ;_ * \(#,##0.00\)\ [$€-1]_ ;_ * &quot;-&quot;??_)\ [$€-1]_ ;_ @_ "/>
    <numFmt numFmtId="165" formatCode="_ * #,##0_)_ ;_ * \(#,##0\)_ ;_ * &quot;-&quot;??_)_ ;_ @_ "/>
  </numFmts>
  <fonts count="6" x14ac:knownFonts="1">
    <font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2"/>
      <name val="Aptos Narrow"/>
      <family val="2"/>
      <charset val="238"/>
      <scheme val="minor"/>
    </font>
    <font>
      <sz val="11"/>
      <name val="Calibri"/>
      <family val="2"/>
    </font>
    <font>
      <sz val="12"/>
      <color rgb="FFFF000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2" borderId="1" xfId="0" applyFill="1" applyBorder="1"/>
    <xf numFmtId="44" fontId="0" fillId="2" borderId="1" xfId="1" applyFont="1" applyFill="1" applyBorder="1"/>
    <xf numFmtId="0" fontId="2" fillId="3" borderId="1" xfId="0" applyFont="1" applyFill="1" applyBorder="1" applyAlignment="1">
      <alignment horizontal="left"/>
    </xf>
    <xf numFmtId="0" fontId="0" fillId="0" borderId="1" xfId="0" applyBorder="1"/>
    <xf numFmtId="0" fontId="0" fillId="4" borderId="1" xfId="0" applyFill="1" applyBorder="1"/>
    <xf numFmtId="44" fontId="0" fillId="4" borderId="1" xfId="1" applyFont="1" applyFill="1" applyBorder="1"/>
    <xf numFmtId="164" fontId="3" fillId="5" borderId="2" xfId="0" applyNumberFormat="1" applyFont="1" applyFill="1" applyBorder="1"/>
    <xf numFmtId="0" fontId="3" fillId="6" borderId="3" xfId="0" applyFont="1" applyFill="1" applyBorder="1" applyAlignment="1">
      <alignment horizontal="left"/>
    </xf>
    <xf numFmtId="4" fontId="0" fillId="0" borderId="1" xfId="0" applyNumberFormat="1" applyBorder="1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9" fontId="0" fillId="7" borderId="0" xfId="0" applyNumberFormat="1" applyFill="1"/>
    <xf numFmtId="44" fontId="0" fillId="0" borderId="0" xfId="1" applyFont="1"/>
    <xf numFmtId="44" fontId="0" fillId="0" borderId="0" xfId="0" applyNumberFormat="1"/>
    <xf numFmtId="0" fontId="3" fillId="6" borderId="2" xfId="0" applyFont="1" applyFill="1" applyBorder="1"/>
    <xf numFmtId="0" fontId="3" fillId="5" borderId="2" xfId="0" applyFont="1" applyFill="1" applyBorder="1"/>
    <xf numFmtId="44" fontId="0" fillId="3" borderId="1" xfId="0" applyNumberFormat="1" applyFill="1" applyBorder="1"/>
    <xf numFmtId="0" fontId="0" fillId="2" borderId="1" xfId="0" applyFill="1" applyBorder="1" applyAlignment="1">
      <alignment horizontal="center" vertical="center"/>
    </xf>
    <xf numFmtId="44" fontId="0" fillId="8" borderId="1" xfId="0" applyNumberFormat="1" applyFill="1" applyBorder="1"/>
    <xf numFmtId="165" fontId="0" fillId="4" borderId="1" xfId="2" applyNumberFormat="1" applyFont="1" applyFill="1" applyBorder="1"/>
    <xf numFmtId="0" fontId="4" fillId="3" borderId="1" xfId="0" applyFont="1" applyFill="1" applyBorder="1"/>
    <xf numFmtId="0" fontId="0" fillId="3" borderId="1" xfId="0" applyFill="1" applyBorder="1"/>
    <xf numFmtId="0" fontId="0" fillId="3" borderId="0" xfId="0" applyFill="1"/>
  </cellXfs>
  <cellStyles count="3">
    <cellStyle name="Čiarka" xfId="2" builtinId="3"/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ADB5E-0487-0045-BA7E-E893B9FA2049}">
  <dimension ref="B2:AO32"/>
  <sheetViews>
    <sheetView tabSelected="1" topLeftCell="AA1" zoomScale="82" workbookViewId="0">
      <selection activeCell="AN5" sqref="AN5"/>
    </sheetView>
  </sheetViews>
  <sheetFormatPr baseColWidth="10" defaultRowHeight="16" x14ac:dyDescent="0.2"/>
  <cols>
    <col min="2" max="2" width="38.33203125" bestFit="1" customWidth="1"/>
    <col min="3" max="3" width="13.33203125" customWidth="1"/>
    <col min="4" max="5" width="12.83203125" customWidth="1"/>
    <col min="6" max="6" width="12.33203125" customWidth="1"/>
    <col min="7" max="9" width="11.5" bestFit="1" customWidth="1"/>
    <col min="10" max="10" width="12.6640625" customWidth="1"/>
    <col min="13" max="13" width="11.5" bestFit="1" customWidth="1"/>
    <col min="14" max="14" width="12" customWidth="1"/>
    <col min="15" max="15" width="11.83203125" customWidth="1"/>
    <col min="16" max="16" width="12" customWidth="1"/>
    <col min="17" max="18" width="11.6640625" customWidth="1"/>
    <col min="19" max="19" width="11.83203125" customWidth="1"/>
    <col min="21" max="21" width="11.5" bestFit="1" customWidth="1"/>
    <col min="22" max="22" width="12.33203125" customWidth="1"/>
    <col min="23" max="23" width="12.6640625" customWidth="1"/>
    <col min="24" max="24" width="12.5" customWidth="1"/>
    <col min="25" max="25" width="11" customWidth="1"/>
    <col min="26" max="26" width="11.83203125" customWidth="1"/>
    <col min="27" max="27" width="12.5" customWidth="1"/>
    <col min="28" max="28" width="11.83203125" bestFit="1" customWidth="1"/>
    <col min="29" max="29" width="11.5" bestFit="1" customWidth="1"/>
    <col min="30" max="31" width="11.5" customWidth="1"/>
    <col min="32" max="32" width="11.5" bestFit="1" customWidth="1"/>
    <col min="33" max="36" width="11.5" customWidth="1"/>
    <col min="37" max="39" width="13.33203125" customWidth="1"/>
    <col min="40" max="40" width="11.83203125" bestFit="1" customWidth="1"/>
    <col min="41" max="41" width="13" customWidth="1"/>
  </cols>
  <sheetData>
    <row r="2" spans="2:41" ht="51" x14ac:dyDescent="0.2">
      <c r="B2" s="1" t="s">
        <v>0</v>
      </c>
      <c r="C2" s="2" t="s">
        <v>20</v>
      </c>
      <c r="D2" s="2" t="s">
        <v>1</v>
      </c>
      <c r="E2" s="10" t="s">
        <v>37</v>
      </c>
      <c r="F2" s="10" t="s">
        <v>21</v>
      </c>
      <c r="G2" s="10" t="s">
        <v>24</v>
      </c>
      <c r="H2" s="10" t="s">
        <v>25</v>
      </c>
      <c r="I2" s="10" t="s">
        <v>26</v>
      </c>
      <c r="J2" s="18" t="s">
        <v>33</v>
      </c>
      <c r="K2" s="18" t="s">
        <v>34</v>
      </c>
      <c r="L2" s="18" t="s">
        <v>35</v>
      </c>
      <c r="M2" s="10" t="s">
        <v>32</v>
      </c>
      <c r="N2" s="10" t="s">
        <v>31</v>
      </c>
      <c r="O2" s="10" t="s">
        <v>30</v>
      </c>
      <c r="P2" s="10" t="s">
        <v>29</v>
      </c>
      <c r="Q2" s="11" t="s">
        <v>28</v>
      </c>
      <c r="R2" s="11" t="s">
        <v>27</v>
      </c>
      <c r="S2" s="11" t="s">
        <v>44</v>
      </c>
      <c r="T2" s="11" t="s">
        <v>36</v>
      </c>
      <c r="U2" s="11" t="s">
        <v>38</v>
      </c>
      <c r="V2" s="11" t="s">
        <v>39</v>
      </c>
      <c r="W2" s="11" t="s">
        <v>46</v>
      </c>
      <c r="X2" s="11" t="s">
        <v>40</v>
      </c>
      <c r="Y2" s="11" t="s">
        <v>41</v>
      </c>
      <c r="Z2" s="11" t="s">
        <v>42</v>
      </c>
      <c r="AA2" s="11" t="s">
        <v>43</v>
      </c>
      <c r="AB2" s="11" t="s">
        <v>47</v>
      </c>
      <c r="AC2" s="11" t="s">
        <v>48</v>
      </c>
      <c r="AD2" s="11" t="s">
        <v>49</v>
      </c>
      <c r="AE2" s="11" t="s">
        <v>50</v>
      </c>
      <c r="AF2" s="10" t="s">
        <v>45</v>
      </c>
      <c r="AG2" s="10" t="s">
        <v>52</v>
      </c>
      <c r="AH2" s="10" t="s">
        <v>51</v>
      </c>
      <c r="AI2" s="10" t="s">
        <v>54</v>
      </c>
      <c r="AJ2" s="10" t="s">
        <v>53</v>
      </c>
      <c r="AK2" s="10" t="s">
        <v>55</v>
      </c>
      <c r="AL2" s="10" t="s">
        <v>55</v>
      </c>
      <c r="AM2" s="10" t="s">
        <v>56</v>
      </c>
      <c r="AN2" s="1" t="s">
        <v>2</v>
      </c>
      <c r="AO2" s="1" t="s">
        <v>22</v>
      </c>
    </row>
    <row r="3" spans="2:41" x14ac:dyDescent="0.2">
      <c r="B3" s="3" t="s">
        <v>3</v>
      </c>
      <c r="C3" s="15">
        <f>75</f>
        <v>75</v>
      </c>
      <c r="D3" s="7">
        <f>C3*$C$24+43.33+18.93</f>
        <v>4868.443206106871</v>
      </c>
      <c r="E3" s="4">
        <f>-300-30</f>
        <v>-330</v>
      </c>
      <c r="F3" s="4">
        <f>-60.29-100</f>
        <v>-160.29</v>
      </c>
      <c r="G3" s="4"/>
      <c r="H3" s="4"/>
      <c r="I3" s="4">
        <f>-50-148.13-28.13</f>
        <v>-226.26</v>
      </c>
      <c r="J3" s="4"/>
      <c r="K3" s="4"/>
      <c r="L3" s="4"/>
      <c r="M3" s="4"/>
      <c r="N3" s="4"/>
      <c r="O3" s="4"/>
      <c r="P3" s="4"/>
      <c r="Q3" s="4"/>
      <c r="R3" s="4">
        <f>-784.66</f>
        <v>-784.66</v>
      </c>
      <c r="S3" s="4"/>
      <c r="T3" s="4">
        <f>-365-40.8</f>
        <v>-405.8</v>
      </c>
      <c r="U3" s="4">
        <f>-34.86</f>
        <v>-34.86</v>
      </c>
      <c r="V3" s="4">
        <f>-226.1/2</f>
        <v>-113.05</v>
      </c>
      <c r="W3" s="4">
        <f>-1102.96</f>
        <v>-1102.96</v>
      </c>
      <c r="X3" s="4">
        <v>-63.13</v>
      </c>
      <c r="Y3" s="4">
        <v>-445.75</v>
      </c>
      <c r="Z3" s="4"/>
      <c r="AA3" s="4"/>
      <c r="AB3" s="4"/>
      <c r="AC3" s="4"/>
      <c r="AD3" s="4">
        <v>-1199.4100000000001</v>
      </c>
      <c r="AE3" s="4"/>
      <c r="AF3" s="4"/>
      <c r="AG3" s="4"/>
      <c r="AH3" s="4"/>
      <c r="AI3" s="4"/>
      <c r="AJ3" s="4"/>
      <c r="AK3" s="4"/>
      <c r="AL3" s="4"/>
      <c r="AM3" s="4"/>
      <c r="AN3" s="17">
        <f t="shared" ref="AN3:AN4" si="0">D3+SUM(E3:AM3)</f>
        <v>2.2732061068709299</v>
      </c>
      <c r="AO3" s="17">
        <f t="shared" ref="AO3:AO17" si="1">-SUM(E3:AM3)</f>
        <v>4866.17</v>
      </c>
    </row>
    <row r="4" spans="2:41" x14ac:dyDescent="0.2">
      <c r="B4" s="3" t="s">
        <v>4</v>
      </c>
      <c r="C4" s="15">
        <v>17</v>
      </c>
      <c r="D4" s="7">
        <f t="shared" ref="D4:D16" si="2">C4*$C$24</f>
        <v>1089.4015267175573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>
        <f>-736.63</f>
        <v>-736.63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>
        <f>-172.51</f>
        <v>-172.51</v>
      </c>
      <c r="AE4" s="4">
        <f>-135</f>
        <v>-135</v>
      </c>
      <c r="AF4" s="4"/>
      <c r="AG4" s="4"/>
      <c r="AH4" s="4"/>
      <c r="AI4" s="4"/>
      <c r="AJ4" s="4"/>
      <c r="AK4" s="4"/>
      <c r="AL4" s="4"/>
      <c r="AM4" s="4"/>
      <c r="AN4" s="17">
        <f t="shared" si="0"/>
        <v>45.261526717557444</v>
      </c>
      <c r="AO4" s="17">
        <f t="shared" si="1"/>
        <v>1044.1399999999999</v>
      </c>
    </row>
    <row r="5" spans="2:41" x14ac:dyDescent="0.2">
      <c r="B5" s="3" t="s">
        <v>17</v>
      </c>
      <c r="C5" s="15">
        <v>35</v>
      </c>
      <c r="D5" s="7">
        <f t="shared" si="2"/>
        <v>2242.8854961832062</v>
      </c>
      <c r="E5" s="4">
        <f>-300-30</f>
        <v>-330</v>
      </c>
      <c r="F5" s="4">
        <f>-(2*60.29)</f>
        <v>-120.58</v>
      </c>
      <c r="G5" s="4">
        <f>-160</f>
        <v>-160</v>
      </c>
      <c r="H5" s="4">
        <f>-270.4</f>
        <v>-270.39999999999998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>
        <v>-127.36</v>
      </c>
      <c r="Z5" s="4"/>
      <c r="AA5" s="4"/>
      <c r="AB5" s="4"/>
      <c r="AC5" s="4"/>
      <c r="AD5" s="4">
        <f>-202</f>
        <v>-202</v>
      </c>
      <c r="AE5" s="4"/>
      <c r="AF5" s="4"/>
      <c r="AG5" s="4"/>
      <c r="AH5" s="4"/>
      <c r="AI5" s="4"/>
      <c r="AJ5" s="4">
        <f>-150</f>
        <v>-150</v>
      </c>
      <c r="AK5" s="4"/>
      <c r="AL5" s="4"/>
      <c r="AM5" s="4">
        <f>-882.55</f>
        <v>-882.55</v>
      </c>
      <c r="AN5" s="19">
        <f>D5+SUM(E5:AM5)</f>
        <v>-4.5038167936581885E-3</v>
      </c>
      <c r="AO5" s="17">
        <f>-SUM(E5:AM5)</f>
        <v>2242.89</v>
      </c>
    </row>
    <row r="6" spans="2:41" x14ac:dyDescent="0.2">
      <c r="B6" s="3" t="s">
        <v>5</v>
      </c>
      <c r="C6" s="15">
        <v>24</v>
      </c>
      <c r="D6" s="7">
        <f t="shared" si="2"/>
        <v>1537.9786259541986</v>
      </c>
      <c r="E6" s="4">
        <v>-30</v>
      </c>
      <c r="F6" s="4"/>
      <c r="G6" s="4"/>
      <c r="H6" s="4"/>
      <c r="I6" s="4">
        <f>-148.13</f>
        <v>-148.13</v>
      </c>
      <c r="J6" s="4"/>
      <c r="K6" s="4"/>
      <c r="L6" s="4"/>
      <c r="M6" s="4"/>
      <c r="N6" s="4"/>
      <c r="O6" s="4"/>
      <c r="P6" s="4"/>
      <c r="Q6" s="4"/>
      <c r="R6" s="4"/>
      <c r="S6" s="4">
        <f>-150</f>
        <v>-150</v>
      </c>
      <c r="T6" s="4">
        <f>-(14.38+14.38+141.05)</f>
        <v>-169.81</v>
      </c>
      <c r="U6" s="4"/>
      <c r="V6" s="4"/>
      <c r="W6" s="4"/>
      <c r="X6" s="4"/>
      <c r="Y6" s="4"/>
      <c r="Z6" s="4"/>
      <c r="AA6" s="4"/>
      <c r="AB6" s="4"/>
      <c r="AC6" s="4"/>
      <c r="AD6" s="4">
        <v>-312.51</v>
      </c>
      <c r="AE6" s="4"/>
      <c r="AF6" s="4">
        <f>-491.31</f>
        <v>-491.31</v>
      </c>
      <c r="AG6" s="4"/>
      <c r="AH6" s="4"/>
      <c r="AI6" s="4"/>
      <c r="AJ6" s="4"/>
      <c r="AK6" s="4"/>
      <c r="AL6" s="4"/>
      <c r="AM6" s="4"/>
      <c r="AN6" s="17">
        <f>D6+SUM(E6:AM6)</f>
        <v>236.21862595419861</v>
      </c>
      <c r="AO6" s="17">
        <f t="shared" si="1"/>
        <v>1301.76</v>
      </c>
    </row>
    <row r="7" spans="2:41" ht="17" customHeight="1" x14ac:dyDescent="0.2">
      <c r="B7" s="3" t="s">
        <v>6</v>
      </c>
      <c r="C7" s="16">
        <v>20</v>
      </c>
      <c r="D7" s="7">
        <f t="shared" si="2"/>
        <v>1281.6488549618321</v>
      </c>
      <c r="E7" s="4"/>
      <c r="F7" s="4"/>
      <c r="G7" s="4"/>
      <c r="H7" s="4"/>
      <c r="I7" s="4"/>
      <c r="J7" s="4"/>
      <c r="K7" s="4">
        <f>-866.62</f>
        <v>-866.62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>
        <f>-415.03</f>
        <v>-415.03</v>
      </c>
      <c r="AJ7" s="4"/>
      <c r="AK7" s="4"/>
      <c r="AL7" s="4"/>
      <c r="AM7" s="4"/>
      <c r="AN7" s="19">
        <f t="shared" ref="AN7" si="3">D7+SUM(E7:AI7)</f>
        <v>-1.1450381680333521E-3</v>
      </c>
      <c r="AO7" s="17">
        <f t="shared" si="1"/>
        <v>1281.6500000000001</v>
      </c>
    </row>
    <row r="8" spans="2:41" x14ac:dyDescent="0.2">
      <c r="B8" s="3" t="s">
        <v>7</v>
      </c>
      <c r="C8" s="16">
        <v>21</v>
      </c>
      <c r="D8" s="7">
        <f t="shared" si="2"/>
        <v>1345.7312977099239</v>
      </c>
      <c r="E8" s="4">
        <f>-300-30</f>
        <v>-330</v>
      </c>
      <c r="F8" s="4"/>
      <c r="G8" s="4"/>
      <c r="H8" s="4"/>
      <c r="I8" s="4"/>
      <c r="J8" s="4"/>
      <c r="K8" s="4"/>
      <c r="L8" s="4"/>
      <c r="M8" s="4"/>
      <c r="N8" s="4"/>
      <c r="O8" s="4">
        <f>-(50+390.54)</f>
        <v>-440.54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>
        <f>-218.85</f>
        <v>-218.85</v>
      </c>
      <c r="AL8" s="4">
        <f>-353.98</f>
        <v>-353.98</v>
      </c>
      <c r="AM8" s="4"/>
      <c r="AN8" s="17">
        <f>D8+SUM(E8:AL8)</f>
        <v>2.3612977099239743</v>
      </c>
      <c r="AO8" s="17">
        <f t="shared" si="1"/>
        <v>1343.37</v>
      </c>
    </row>
    <row r="9" spans="2:41" x14ac:dyDescent="0.2">
      <c r="B9" s="3" t="s">
        <v>8</v>
      </c>
      <c r="C9" s="16">
        <v>19</v>
      </c>
      <c r="D9" s="7">
        <f t="shared" si="2"/>
        <v>1217.5664122137405</v>
      </c>
      <c r="E9" s="4"/>
      <c r="F9" s="4"/>
      <c r="G9" s="4"/>
      <c r="H9" s="4"/>
      <c r="I9" s="4"/>
      <c r="J9" s="4"/>
      <c r="K9" s="4"/>
      <c r="L9" s="4"/>
      <c r="M9" s="4"/>
      <c r="N9" s="4">
        <f>-823.29</f>
        <v>-823.29</v>
      </c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f>-394.28</f>
        <v>-394.28</v>
      </c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19">
        <f t="shared" ref="AN9:AN17" si="4">D9+SUM(E9:AH9)</f>
        <v>-3.5877862594588805E-3</v>
      </c>
      <c r="AO9" s="17">
        <f t="shared" si="1"/>
        <v>1217.57</v>
      </c>
    </row>
    <row r="10" spans="2:41" x14ac:dyDescent="0.2">
      <c r="B10" s="3" t="s">
        <v>9</v>
      </c>
      <c r="C10" s="16">
        <v>3</v>
      </c>
      <c r="D10" s="7">
        <f t="shared" si="2"/>
        <v>192.24732824427483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17">
        <f t="shared" si="4"/>
        <v>192.24732824427483</v>
      </c>
      <c r="AO10" s="17">
        <f t="shared" si="1"/>
        <v>0</v>
      </c>
    </row>
    <row r="11" spans="2:41" x14ac:dyDescent="0.2">
      <c r="B11" s="3" t="s">
        <v>10</v>
      </c>
      <c r="C11" s="16">
        <v>5</v>
      </c>
      <c r="D11" s="7">
        <f t="shared" si="2"/>
        <v>320.41221374045801</v>
      </c>
      <c r="E11" s="4"/>
      <c r="F11" s="4"/>
      <c r="G11" s="4"/>
      <c r="H11" s="4">
        <f>-5.75</f>
        <v>-5.75</v>
      </c>
      <c r="I11" s="4"/>
      <c r="J11" s="4">
        <f>-216.66</f>
        <v>-216.66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>
        <f>-98</f>
        <v>-98</v>
      </c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19">
        <f t="shared" si="4"/>
        <v>2.2137404580462317E-3</v>
      </c>
      <c r="AO11" s="17">
        <f t="shared" si="1"/>
        <v>320.40999999999997</v>
      </c>
    </row>
    <row r="12" spans="2:41" x14ac:dyDescent="0.2">
      <c r="B12" s="3" t="s">
        <v>11</v>
      </c>
      <c r="C12" s="16">
        <v>13</v>
      </c>
      <c r="D12" s="7">
        <f t="shared" si="2"/>
        <v>833.07175572519088</v>
      </c>
      <c r="E12" s="4"/>
      <c r="F12" s="4"/>
      <c r="G12" s="4"/>
      <c r="H12" s="4"/>
      <c r="I12" s="4"/>
      <c r="J12" s="4"/>
      <c r="K12" s="4"/>
      <c r="L12" s="4">
        <f>-563.3</f>
        <v>-563.29999999999995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9">
        <v>-269.77</v>
      </c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19">
        <f t="shared" si="4"/>
        <v>1.7557251909465776E-3</v>
      </c>
      <c r="AO12" s="17">
        <f t="shared" si="1"/>
        <v>833.06999999999994</v>
      </c>
    </row>
    <row r="13" spans="2:41" x14ac:dyDescent="0.2">
      <c r="B13" s="3" t="s">
        <v>12</v>
      </c>
      <c r="C13" s="16">
        <v>13</v>
      </c>
      <c r="D13" s="7">
        <f t="shared" si="2"/>
        <v>833.07175572519088</v>
      </c>
      <c r="E13" s="4"/>
      <c r="F13" s="4"/>
      <c r="G13" s="4"/>
      <c r="H13" s="4">
        <f>-269.77</f>
        <v>-269.77</v>
      </c>
      <c r="I13" s="4"/>
      <c r="J13" s="4"/>
      <c r="K13" s="4"/>
      <c r="L13" s="4"/>
      <c r="M13" s="4">
        <f>-563.3</f>
        <v>-563.29999999999995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19">
        <f t="shared" si="4"/>
        <v>1.7557251909465776E-3</v>
      </c>
      <c r="AO13" s="17">
        <f t="shared" si="1"/>
        <v>833.06999999999994</v>
      </c>
    </row>
    <row r="14" spans="2:41" x14ac:dyDescent="0.2">
      <c r="B14" s="3" t="s">
        <v>13</v>
      </c>
      <c r="C14" s="16">
        <v>11</v>
      </c>
      <c r="D14" s="7">
        <f t="shared" si="2"/>
        <v>704.90687022900772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>
        <f>-522.5</f>
        <v>-522.5</v>
      </c>
      <c r="AH14" s="4">
        <f>-182.41</f>
        <v>-182.41</v>
      </c>
      <c r="AI14" s="4"/>
      <c r="AJ14" s="4"/>
      <c r="AK14" s="4"/>
      <c r="AL14" s="4"/>
      <c r="AM14" s="4"/>
      <c r="AN14" s="19">
        <f t="shared" si="4"/>
        <v>-3.1297709922455397E-3</v>
      </c>
      <c r="AO14" s="17">
        <f t="shared" si="1"/>
        <v>704.91</v>
      </c>
    </row>
    <row r="15" spans="2:41" x14ac:dyDescent="0.2">
      <c r="B15" s="3" t="s">
        <v>15</v>
      </c>
      <c r="C15" s="16">
        <v>1</v>
      </c>
      <c r="D15" s="7">
        <f t="shared" si="2"/>
        <v>64.082442748091609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>
        <f>-43.33</f>
        <v>-43.33</v>
      </c>
      <c r="R15" s="4"/>
      <c r="S15" s="4"/>
      <c r="T15" s="4"/>
      <c r="U15" s="4"/>
      <c r="V15" s="4"/>
      <c r="W15" s="4"/>
      <c r="X15" s="4"/>
      <c r="Y15" s="4"/>
      <c r="Z15" s="4"/>
      <c r="AA15" s="4">
        <f>-20.75</f>
        <v>-20.75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19">
        <f t="shared" si="4"/>
        <v>2.4427480916102695E-3</v>
      </c>
      <c r="AO15" s="17">
        <f t="shared" si="1"/>
        <v>64.08</v>
      </c>
    </row>
    <row r="16" spans="2:41" x14ac:dyDescent="0.2">
      <c r="B16" s="8" t="s">
        <v>14</v>
      </c>
      <c r="C16" s="15">
        <v>2</v>
      </c>
      <c r="D16" s="7">
        <f t="shared" si="2"/>
        <v>128.16488549618322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17">
        <f t="shared" si="4"/>
        <v>128.16488549618322</v>
      </c>
      <c r="AO16" s="17">
        <f t="shared" si="1"/>
        <v>0</v>
      </c>
    </row>
    <row r="17" spans="2:41" x14ac:dyDescent="0.2">
      <c r="B17" s="8"/>
      <c r="C17" s="15">
        <v>3</v>
      </c>
      <c r="D17" s="7">
        <f>C17*$C$24-43.33-18.93</f>
        <v>129.98732824427481</v>
      </c>
      <c r="E17" s="4">
        <f>-129.99</f>
        <v>-129.99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17">
        <f t="shared" si="4"/>
        <v>-2.6717557252027291E-3</v>
      </c>
      <c r="AO17" s="17">
        <f t="shared" si="1"/>
        <v>129.99</v>
      </c>
    </row>
    <row r="18" spans="2:41" x14ac:dyDescent="0.2">
      <c r="B18" s="5" t="s">
        <v>16</v>
      </c>
      <c r="C18" s="20">
        <f>SUM(C3:C17)</f>
        <v>262</v>
      </c>
      <c r="D18" s="6">
        <f>SUM(D3:D17)</f>
        <v>16789.599999999999</v>
      </c>
      <c r="E18" s="6">
        <f>SUM(E3:E17)</f>
        <v>-1149.99</v>
      </c>
      <c r="F18" s="6">
        <f t="shared" ref="F18:V18" si="5">SUM(F3:F17)</f>
        <v>-280.87</v>
      </c>
      <c r="G18" s="6">
        <f t="shared" si="5"/>
        <v>-160</v>
      </c>
      <c r="H18" s="6">
        <f t="shared" si="5"/>
        <v>-545.91999999999996</v>
      </c>
      <c r="I18" s="6">
        <f t="shared" si="5"/>
        <v>-374.39</v>
      </c>
      <c r="J18" s="6">
        <f t="shared" si="5"/>
        <v>-216.66</v>
      </c>
      <c r="K18" s="6">
        <f t="shared" si="5"/>
        <v>-866.62</v>
      </c>
      <c r="L18" s="6">
        <f t="shared" si="5"/>
        <v>-563.29999999999995</v>
      </c>
      <c r="M18" s="6">
        <f t="shared" si="5"/>
        <v>-563.29999999999995</v>
      </c>
      <c r="N18" s="6">
        <f t="shared" si="5"/>
        <v>-823.29</v>
      </c>
      <c r="O18" s="6">
        <f t="shared" si="5"/>
        <v>-440.54</v>
      </c>
      <c r="P18" s="6">
        <f t="shared" si="5"/>
        <v>-736.63</v>
      </c>
      <c r="Q18" s="6">
        <f t="shared" si="5"/>
        <v>-43.33</v>
      </c>
      <c r="R18" s="6">
        <f t="shared" si="5"/>
        <v>-784.66</v>
      </c>
      <c r="S18" s="6">
        <f t="shared" si="5"/>
        <v>-150</v>
      </c>
      <c r="T18" s="6">
        <f t="shared" si="5"/>
        <v>-575.61</v>
      </c>
      <c r="U18" s="6">
        <f t="shared" si="5"/>
        <v>-34.86</v>
      </c>
      <c r="V18" s="6">
        <f t="shared" si="5"/>
        <v>-113.05</v>
      </c>
      <c r="W18" s="6">
        <f t="shared" ref="W18:AF18" si="6">SUM(W3:W16)</f>
        <v>-1102.96</v>
      </c>
      <c r="X18" s="6">
        <f t="shared" si="6"/>
        <v>-63.13</v>
      </c>
      <c r="Y18" s="6">
        <f t="shared" si="6"/>
        <v>-573.11</v>
      </c>
      <c r="Z18" s="6">
        <f t="shared" si="6"/>
        <v>-98</v>
      </c>
      <c r="AA18" s="6">
        <f t="shared" si="6"/>
        <v>-20.75</v>
      </c>
      <c r="AB18" s="6">
        <f t="shared" si="6"/>
        <v>-394.28</v>
      </c>
      <c r="AC18" s="6">
        <f t="shared" si="6"/>
        <v>-269.77</v>
      </c>
      <c r="AD18" s="6">
        <f t="shared" si="6"/>
        <v>-1886.43</v>
      </c>
      <c r="AE18" s="6"/>
      <c r="AF18" s="6">
        <f t="shared" si="6"/>
        <v>-491.31</v>
      </c>
      <c r="AG18" s="6"/>
      <c r="AH18" s="6"/>
      <c r="AI18" s="6"/>
      <c r="AJ18" s="6"/>
      <c r="AK18" s="6"/>
      <c r="AL18" s="6"/>
      <c r="AM18" s="6"/>
      <c r="AN18" s="6">
        <f>SUM(AN3:AN17)</f>
        <v>606.52000000000203</v>
      </c>
      <c r="AO18" s="6">
        <f>SUM(AO3:AO17)</f>
        <v>16183.079999999998</v>
      </c>
    </row>
    <row r="19" spans="2:41" x14ac:dyDescent="0.2">
      <c r="B19" s="5" t="s">
        <v>23</v>
      </c>
      <c r="C19" s="5"/>
      <c r="D19" s="6"/>
      <c r="E19" s="21"/>
      <c r="F19" s="21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3"/>
      <c r="AH19" s="23"/>
      <c r="AI19" s="23"/>
      <c r="AJ19" s="23"/>
      <c r="AK19" s="23"/>
      <c r="AL19" s="23"/>
      <c r="AM19" s="23"/>
    </row>
    <row r="22" spans="2:41" x14ac:dyDescent="0.2">
      <c r="B22" t="s">
        <v>19</v>
      </c>
      <c r="C22">
        <v>262</v>
      </c>
    </row>
    <row r="23" spans="2:41" x14ac:dyDescent="0.2">
      <c r="B23" s="12">
        <v>0.15</v>
      </c>
      <c r="C23" s="13">
        <f>83948*0.2</f>
        <v>16789.600000000002</v>
      </c>
      <c r="AO23" s="14"/>
    </row>
    <row r="24" spans="2:41" x14ac:dyDescent="0.2">
      <c r="B24" t="s">
        <v>18</v>
      </c>
      <c r="C24" s="14">
        <f>C23/C22</f>
        <v>64.082442748091609</v>
      </c>
    </row>
    <row r="25" spans="2:41" x14ac:dyDescent="0.2">
      <c r="AA25" s="14"/>
    </row>
    <row r="28" spans="2:41" x14ac:dyDescent="0.2">
      <c r="J28" s="14"/>
    </row>
    <row r="32" spans="2:41" x14ac:dyDescent="0.2">
      <c r="AA32" s="14"/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AŠ NAVÝŠENIE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Izarikova</dc:creator>
  <cp:lastModifiedBy>Alexandra Filipová | EU v Bratislave</cp:lastModifiedBy>
  <dcterms:created xsi:type="dcterms:W3CDTF">2024-04-05T17:01:35Z</dcterms:created>
  <dcterms:modified xsi:type="dcterms:W3CDTF">2025-12-04T06:36:45Z</dcterms:modified>
</cp:coreProperties>
</file>